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<sst xmlns="http://schemas.openxmlformats.org/spreadsheetml/2006/main" count="182" uniqueCount="118">
  <si>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</si>
  <si>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</si>
  <si>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</si>
  <si>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</si>
  <si>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</si>
  <si>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</si>
  <si>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</si>
  <si>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</si>
  <si>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</si>
  <si>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</si>
  <si>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</si>
  <si>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</si>
  <si>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</si>
  <si>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</si>
  <si>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</si>
  <si>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</si>
  <si>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</si>
  <si>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</si>
  <si>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</si>
  <si>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</si>
  <si>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</si>
  <si>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</si>
  <si>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</si>
  <si>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</si>
  <si>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</si>
  <si>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</si>
  <si>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</si>
  <si>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</si>
  <si>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</si>
  <si>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</si>
  <si>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</si>
  <si>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</si>
  <si>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</si>
  <si>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</si>
  <si>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</si>
  <si>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</si>
  <si>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</si>
  <si>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</si>
  <si>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</si>
  <si>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</si>
  <si>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</si>
  <si>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</si>
  <si>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</si>
  <si>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</si>
  <si>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</si>
  <si>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</si>
  <si>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</si>
  <si>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</si>
  <si>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</si>
  <si>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</si>
  <si>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</si>
  <si>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</si>
  <si>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</si>
  <si>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</si>
  <si>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</si>
  <si>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</si>
  <si>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</si>
  <si>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</si>
  <si>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</si>
  <si>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</si>
  <si>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</si>
  <si>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</si>
  <si>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</si>
  <si>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</si>
  <si>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</si>
  <si>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</si>
  <si>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</si>
  <si>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</si>
  <si>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</si>
  <si>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</si>
  <si>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</si>
  <si>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</si>
  <si>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</si>
  <si>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</si>
  <si>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</si>
  <si>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</si>
  <si>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</si>
  <si>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</si>
  <si>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</si>
  <si>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</si>
  <si>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</si>
  <si>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</si>
  <si>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</si>
  <si>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</si>
  <si>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</si>
  <si>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</si>
  <si>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</si>
  <si>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</si>
  <si>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</si>
  <si>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</si>
  <si>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</si>
  <si>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</si>
  <si>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</si>
  <si>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</si>
  <si>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</si>
  <si>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</si>
  <si>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</si>
  <si>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</si>
  <si>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</si>
  <si>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</si>
  <si>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</si>
  <si>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</si>
  <si>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</si>
  <si>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</si>
  <si>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</si>
  <si>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</si>
  <si>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</si>
  <si>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</si>
  <si>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</si>
  <si>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</si>
  <si>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</si>
  <si>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</si>
  <si>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</si>
  <si>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33333</t>
  </si>
  <si>
    <t>Bubba Well</t>
  </si>
  <si>
    <t>10,000-gal hydro tank</t>
  </si>
  <si>
    <t>(assuming 50% capacity)</t>
  </si>
  <si>
    <t>Papa Bubba Café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</si>
</sst>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28" fillId="3" borderId="45" xfId="0" applyFont="1" applyFill="1" applyBorder="1" applyAlignment="1" applyProtection="1">
      <alignment horizontal="center"/>
      <protection/>
    </xf>
    <xf numFmtId="0" fontId="28" fillId="3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1">
      <selection activeCell="H82" sqref="H82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69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117</v>
      </c>
      <c r="D4" s="270"/>
      <c r="E4" s="270"/>
      <c r="F4" s="271"/>
      <c r="G4" s="159"/>
      <c r="H4" s="160" t="s">
        <v>41</v>
      </c>
      <c r="I4" s="161" t="s">
        <v>113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70</v>
      </c>
      <c r="C8" s="162"/>
      <c r="D8" s="162"/>
      <c r="E8" s="163" t="s">
        <v>105</v>
      </c>
      <c r="F8" s="163" t="s">
        <v>106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74</v>
      </c>
      <c r="C9" s="164"/>
      <c r="D9" s="165"/>
      <c r="E9" s="194">
        <v>1</v>
      </c>
      <c r="F9" s="164"/>
      <c r="G9" s="166"/>
      <c r="H9" s="167" t="s">
        <v>64</v>
      </c>
      <c r="I9" s="192">
        <v>10.5</v>
      </c>
      <c r="J9" s="274" t="s">
        <v>102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59</v>
      </c>
      <c r="I11" s="240">
        <f>I8+I9</f>
        <v>10.5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78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5.833333333333333</v>
      </c>
      <c r="D17" s="187">
        <v>400</v>
      </c>
      <c r="E17" s="188">
        <f>I11*D17</f>
        <v>4200</v>
      </c>
      <c r="F17" s="189">
        <v>0.45</v>
      </c>
      <c r="G17" s="190">
        <f>(F17*I11)</f>
        <v>4.7250000000000005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67</v>
      </c>
      <c r="C22" s="168"/>
      <c r="D22" s="168"/>
      <c r="E22" s="162"/>
      <c r="F22" s="163"/>
      <c r="G22" s="49" t="s">
        <v>30</v>
      </c>
      <c r="H22" s="49" t="s">
        <v>32</v>
      </c>
      <c r="I22" s="195">
        <v>0</v>
      </c>
      <c r="J22" s="38"/>
      <c r="K22" s="38"/>
      <c r="L22" s="38"/>
    </row>
    <row r="23" spans="1:12" ht="13.5" thickBot="1">
      <c r="A23" s="38"/>
      <c r="B23" s="159" t="s">
        <v>68</v>
      </c>
      <c r="C23" s="168"/>
      <c r="D23" s="168"/>
      <c r="E23" s="162"/>
      <c r="F23" s="163"/>
      <c r="G23" s="49" t="s">
        <v>30</v>
      </c>
      <c r="H23" s="49" t="s">
        <v>32</v>
      </c>
      <c r="I23" s="196" t="e">
        <f>+I22/I8</f>
        <v>#DIV/0!</v>
      </c>
      <c r="J23" s="148" t="s">
        <v>101</v>
      </c>
      <c r="K23" s="38"/>
      <c r="L23" s="38"/>
    </row>
    <row r="24" spans="1:12" ht="15" customHeight="1" thickBot="1">
      <c r="A24" s="38"/>
      <c r="B24" s="169" t="s">
        <v>65</v>
      </c>
      <c r="C24" s="165"/>
      <c r="D24" s="165"/>
      <c r="E24" s="165"/>
      <c r="F24" s="162"/>
      <c r="G24" s="49" t="s">
        <v>30</v>
      </c>
      <c r="H24" s="49" t="s">
        <v>32</v>
      </c>
      <c r="I24" s="197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7">
        <v>1</v>
      </c>
      <c r="J25" s="148">
        <v>2</v>
      </c>
      <c r="K25" s="38" t="s">
        <v>66</v>
      </c>
      <c r="L25" s="38"/>
    </row>
    <row r="26" spans="1:12" ht="15" customHeight="1" thickBot="1">
      <c r="A26" s="241" t="s">
        <v>71</v>
      </c>
      <c r="B26" s="242"/>
      <c r="C26" s="243"/>
      <c r="D26" s="63"/>
      <c r="E26" s="38"/>
      <c r="F26" s="49"/>
      <c r="G26" s="49"/>
      <c r="H26" s="172" t="s">
        <v>36</v>
      </c>
      <c r="I26" s="194">
        <v>4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79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8">
        <f>('Irrigation Demands &amp; Map'!B9*I24)*(24*60)</f>
        <v>0</v>
      </c>
      <c r="C33" s="199">
        <f>('Irrigation Demands &amp; Map'!B9*I24)*I22+I25*'Irrigation Demands &amp; Map'!B9</f>
        <v>3.96</v>
      </c>
      <c r="D33" s="200">
        <f>'Irrigation Demands &amp; Map'!D9*I24</f>
        <v>0</v>
      </c>
      <c r="E33" s="201">
        <f>'Irrigation Demands &amp; Map'!D9*I24*I22+I25*'Irrigation Demands &amp; Map'!D9</f>
        <v>2848</v>
      </c>
      <c r="F33" s="202">
        <f>'Irrigation Demands &amp; Map'!C9*I24</f>
        <v>0</v>
      </c>
      <c r="G33" s="203">
        <f>F33*I22+I25*'Irrigation Demands &amp; Map'!C9</f>
        <v>1.87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3"/>
      <c r="K37" s="71"/>
      <c r="L37" s="71"/>
    </row>
    <row r="38" spans="1:12" s="30" customFormat="1" ht="15" customHeight="1" thickBot="1">
      <c r="A38" s="69"/>
      <c r="B38" s="162" t="s">
        <v>103</v>
      </c>
      <c r="C38" s="70"/>
      <c r="D38" s="70"/>
      <c r="E38" s="70"/>
      <c r="F38" s="72"/>
      <c r="G38" s="72"/>
      <c r="H38" s="72"/>
      <c r="I38" s="204">
        <v>1000</v>
      </c>
      <c r="J38" s="73"/>
      <c r="K38" s="73"/>
      <c r="L38" s="73"/>
    </row>
    <row r="39" spans="1:12" s="30" customFormat="1" ht="15" customHeight="1" thickBot="1">
      <c r="A39" s="69"/>
      <c r="B39" s="162" t="s">
        <v>104</v>
      </c>
      <c r="C39" s="70"/>
      <c r="D39" s="70"/>
      <c r="E39" s="70"/>
      <c r="F39" s="72"/>
      <c r="G39" s="72"/>
      <c r="H39" s="72"/>
      <c r="I39" s="205">
        <v>2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6">
        <f>I38*I39*60</f>
        <v>120000</v>
      </c>
      <c r="J40" s="73"/>
      <c r="K40" s="73"/>
      <c r="L40" s="73"/>
    </row>
    <row r="41" spans="1:12" ht="12.75">
      <c r="A41" s="241" t="s">
        <v>72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81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9.793333333333333</v>
      </c>
      <c r="D50" s="175">
        <f>D33+D17</f>
        <v>400</v>
      </c>
      <c r="E50" s="176">
        <f>E33+E17+I40</f>
        <v>127048</v>
      </c>
      <c r="F50" s="177">
        <f>F33+F17</f>
        <v>0.45</v>
      </c>
      <c r="G50" s="178">
        <f>G33+G17</f>
        <v>6.595000000000001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1" t="s">
        <v>109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20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2">
        <f>'Capacity Calculations'!$C$50</f>
        <v>9.793333333333333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3">
        <f>D56/D57</f>
        <v>2.042205582028591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10.206666666666667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1" t="s">
        <v>110</v>
      </c>
      <c r="C62" s="231"/>
      <c r="D62" s="231"/>
      <c r="E62" s="231"/>
      <c r="F62" s="231"/>
      <c r="G62" s="231"/>
      <c r="H62" s="231"/>
      <c r="I62" s="231"/>
      <c r="J62" s="231"/>
      <c r="K62" s="231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5000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9">
        <f>'Capacity Calculations'!$E$50</f>
        <v>127048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80">
        <f>D65/D66</f>
        <v>0.039355204332220894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-122048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108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83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91</v>
      </c>
      <c r="B74" s="258"/>
      <c r="C74" s="258"/>
      <c r="D74" s="259"/>
      <c r="E74" s="138" t="s">
        <v>96</v>
      </c>
      <c r="F74" s="138" t="s">
        <v>107</v>
      </c>
      <c r="G74" s="138" t="s">
        <v>39</v>
      </c>
      <c r="H74" s="138" t="s">
        <v>89</v>
      </c>
      <c r="I74" s="138" t="s">
        <v>88</v>
      </c>
      <c r="J74" s="136" t="s">
        <v>90</v>
      </c>
      <c r="K74" s="137" t="s">
        <v>62</v>
      </c>
      <c r="L74" s="38"/>
    </row>
    <row r="75" spans="1:12" ht="13.5" thickBot="1">
      <c r="A75" s="262" t="s">
        <v>38</v>
      </c>
      <c r="B75" s="263"/>
      <c r="C75" s="263"/>
      <c r="D75" s="264"/>
      <c r="E75" s="207">
        <v>60</v>
      </c>
      <c r="F75" s="207">
        <f>E75*$E$79</f>
        <v>0</v>
      </c>
      <c r="G75" s="207">
        <f>E75/2</f>
        <v>30</v>
      </c>
      <c r="H75" s="207">
        <f>G75*$E$79</f>
        <v>0</v>
      </c>
      <c r="I75" s="208">
        <f>F75/800</f>
        <v>0</v>
      </c>
      <c r="J75" s="195">
        <v>0</v>
      </c>
      <c r="K75" s="209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0">
        <v>20</v>
      </c>
      <c r="F76" s="210">
        <f>E76*$E$79</f>
        <v>0</v>
      </c>
      <c r="G76" s="210">
        <f>E76/2</f>
        <v>10</v>
      </c>
      <c r="H76" s="210">
        <f>G76*$E$79</f>
        <v>0</v>
      </c>
      <c r="I76" s="211">
        <f>F76/800</f>
        <v>0</v>
      </c>
      <c r="J76" s="195">
        <v>0</v>
      </c>
      <c r="K76" s="209">
        <f>+J76*I76</f>
        <v>0</v>
      </c>
      <c r="L76" s="38"/>
    </row>
    <row r="77" spans="1:12" ht="13.5" thickBot="1">
      <c r="A77" s="266" t="s">
        <v>84</v>
      </c>
      <c r="B77" s="284"/>
      <c r="C77" s="284"/>
      <c r="D77" s="285"/>
      <c r="E77" s="210">
        <v>5</v>
      </c>
      <c r="F77" s="210">
        <f>E77*$E$79</f>
        <v>0</v>
      </c>
      <c r="G77" s="210">
        <f>E77/2</f>
        <v>2.5</v>
      </c>
      <c r="H77" s="210">
        <f>G77*$E$79</f>
        <v>0</v>
      </c>
      <c r="I77" s="211">
        <f>F77/800</f>
        <v>0</v>
      </c>
      <c r="J77" s="195">
        <v>0</v>
      </c>
      <c r="K77" s="209">
        <f>+J77*I77</f>
        <v>0</v>
      </c>
      <c r="L77" s="38"/>
    </row>
    <row r="78" spans="1:12" ht="13.5" thickBot="1">
      <c r="A78" s="254" t="s">
        <v>86</v>
      </c>
      <c r="B78" s="255"/>
      <c r="C78" s="255"/>
      <c r="D78" s="256"/>
      <c r="E78" s="210" t="s">
        <v>87</v>
      </c>
      <c r="F78" s="185">
        <v>100</v>
      </c>
      <c r="G78" s="185" t="s">
        <v>87</v>
      </c>
      <c r="H78" s="185">
        <v>50</v>
      </c>
      <c r="I78" s="212">
        <f>F78/800</f>
        <v>0.125</v>
      </c>
      <c r="J78" s="195">
        <v>0</v>
      </c>
      <c r="K78" s="209">
        <f>+J78*I78</f>
        <v>0</v>
      </c>
      <c r="L78" s="38"/>
    </row>
    <row r="79" spans="1:12" ht="13.5" thickBot="1">
      <c r="A79" s="90"/>
      <c r="B79" s="91"/>
      <c r="C79" s="91"/>
      <c r="D79" s="141" t="s">
        <v>95</v>
      </c>
      <c r="E79" s="194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94</v>
      </c>
      <c r="F81" s="149" t="s">
        <v>97</v>
      </c>
      <c r="G81" s="138" t="s">
        <v>92</v>
      </c>
      <c r="H81" s="140" t="s">
        <v>93</v>
      </c>
      <c r="I81" s="139" t="s">
        <v>63</v>
      </c>
      <c r="J81" s="61"/>
      <c r="K81" s="92"/>
      <c r="L81" s="38"/>
    </row>
    <row r="82" spans="1:12" ht="13.5" thickBot="1">
      <c r="A82" s="272" t="s">
        <v>85</v>
      </c>
      <c r="B82" s="273"/>
      <c r="C82" s="273"/>
      <c r="D82" s="273"/>
      <c r="E82" s="213">
        <v>7</v>
      </c>
      <c r="F82" s="214">
        <f>E82/2</f>
        <v>3.5</v>
      </c>
      <c r="G82" s="215">
        <f>E82*1000/800</f>
        <v>8.75</v>
      </c>
      <c r="H82" s="195">
        <v>0</v>
      </c>
      <c r="I82" s="216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7" t="str">
        <f>C4</f>
        <v>Papa Bubba Café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7" t="s">
        <v>80</v>
      </c>
      <c r="B85" s="228"/>
      <c r="C85" s="228"/>
      <c r="D85" s="230"/>
      <c r="E85" s="38"/>
      <c r="F85" s="120"/>
      <c r="G85" s="227" t="s">
        <v>18</v>
      </c>
      <c r="H85" s="228"/>
      <c r="I85" s="228"/>
      <c r="J85" s="229" t="s">
        <v>51</v>
      </c>
      <c r="K85" s="38"/>
      <c r="L85" s="38"/>
    </row>
    <row r="86" spans="1:12" ht="12.75">
      <c r="A86" s="226" t="s">
        <v>73</v>
      </c>
      <c r="B86" s="100"/>
      <c r="C86" s="101"/>
      <c r="D86" s="223">
        <f>I8</f>
        <v>0</v>
      </c>
      <c r="E86" s="102"/>
      <c r="F86" s="121"/>
      <c r="G86" s="142" t="s">
        <v>46</v>
      </c>
      <c r="H86" s="143" t="s">
        <v>114</v>
      </c>
      <c r="I86" s="143"/>
      <c r="J86" s="218">
        <v>20</v>
      </c>
      <c r="K86" s="38"/>
      <c r="L86" s="38"/>
    </row>
    <row r="87" spans="1:12" ht="12.75">
      <c r="A87" s="90"/>
      <c r="B87" s="91"/>
      <c r="C87" s="91"/>
      <c r="D87" s="224"/>
      <c r="E87" s="38"/>
      <c r="F87" s="121"/>
      <c r="G87" s="108"/>
      <c r="H87" s="109"/>
      <c r="I87" s="109"/>
      <c r="J87" s="219"/>
      <c r="K87" s="38"/>
      <c r="L87" s="38"/>
    </row>
    <row r="88" spans="1:12" ht="13.5" thickBot="1">
      <c r="A88" s="226" t="s">
        <v>111</v>
      </c>
      <c r="B88" s="91"/>
      <c r="C88" s="91"/>
      <c r="D88" s="225">
        <f>SUM(D89:D109)</f>
        <v>0</v>
      </c>
      <c r="E88" s="38"/>
      <c r="F88" s="121"/>
      <c r="G88" s="108"/>
      <c r="H88" s="109"/>
      <c r="I88" s="109"/>
      <c r="J88" s="219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19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9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9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9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9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9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9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9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0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1">
        <f>SUM(J86:J97)</f>
        <v>20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2">
        <f>J98/800*1440</f>
        <v>36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7" t="s">
        <v>13</v>
      </c>
      <c r="H101" s="228"/>
      <c r="I101" s="228"/>
      <c r="J101" s="229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115</v>
      </c>
      <c r="I102" s="143"/>
      <c r="J102" s="155">
        <v>5000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 t="s">
        <v>116</v>
      </c>
      <c r="I103" s="109"/>
      <c r="J103" s="156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112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76</v>
      </c>
      <c r="B114" s="242"/>
      <c r="C114" s="242"/>
      <c r="D114" s="242"/>
      <c r="E114" s="243"/>
      <c r="F114" s="123"/>
      <c r="G114" s="234"/>
      <c r="H114" s="235"/>
      <c r="I114" s="235"/>
      <c r="J114" s="236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4"/>
      <c r="H115" s="235"/>
      <c r="I115" s="235"/>
      <c r="J115" s="236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7"/>
      <c r="H116" s="238"/>
      <c r="I116" s="238"/>
      <c r="J116" s="239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50</v>
      </c>
      <c r="H117" s="153"/>
      <c r="I117" s="153"/>
      <c r="J117" s="154">
        <f>SUM(J102:J116)</f>
        <v>5000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C4:F4"/>
    <mergeCell ref="B14:C14"/>
    <mergeCell ref="D14:E14"/>
    <mergeCell ref="F14:G14"/>
    <mergeCell ref="B30:C30"/>
    <mergeCell ref="D30:E30"/>
    <mergeCell ref="F30:G30"/>
    <mergeCell ref="A76:D76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100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98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Papa Bubba Café</v>
      </c>
      <c r="D5" s="290"/>
      <c r="E5" s="290"/>
      <c r="F5" s="290"/>
      <c r="G5" s="4"/>
      <c r="H5" s="5" t="s">
        <v>41</v>
      </c>
      <c r="I5" s="103" t="str">
        <f>'Capacity Calculations'!$I$4</f>
        <v>33333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99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Papa Bubba Café</v>
      </c>
      <c r="D5" s="307"/>
      <c r="E5" s="307"/>
      <c r="F5" s="307"/>
      <c r="G5" s="4"/>
      <c r="H5" s="5" t="s">
        <v>41</v>
      </c>
      <c r="I5" s="232" t="str">
        <f>'Capacity Calculations'!$I$4</f>
        <v>33333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4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3.96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1.87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2848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2011-07-11T20:35:12Z</dcterms:modified>
  <cp:category/>
  <cp:version/>
  <cp:contentType/>
  <cp:contentStatus/>
</cp:coreProperties>
</file>