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995" yWindow="0" windowWidth="26760" windowHeight="12165" tabRatio="783"/>
  </bookViews>
  <sheets>
    <sheet name="Engine NG" sheetId="13" r:id="rId1"/>
  </sheets>
  <definedNames>
    <definedName name="_xlnm.Print_Area" localSheetId="0">'Engine NG'!$A$1:$F$64</definedName>
  </definedNames>
  <calcPr calcId="145621"/>
</workbook>
</file>

<file path=xl/calcChain.xml><?xml version="1.0" encoding="utf-8"?>
<calcChain xmlns="http://schemas.openxmlformats.org/spreadsheetml/2006/main">
  <c r="C3" i="13" l="1"/>
  <c r="C8" i="13" l="1"/>
  <c r="D8" i="13" s="1"/>
  <c r="C9" i="13"/>
  <c r="D9" i="13" s="1"/>
  <c r="S20" i="13"/>
  <c r="C11" i="13" s="1"/>
  <c r="D11" i="13" s="1"/>
  <c r="S19" i="13"/>
  <c r="C10" i="13" s="1"/>
  <c r="D10" i="13" s="1"/>
  <c r="N20" i="13"/>
  <c r="N19" i="13"/>
  <c r="I20" i="13"/>
  <c r="I19" i="13"/>
  <c r="C12" i="13"/>
  <c r="D12" i="13" s="1"/>
  <c r="C13" i="13"/>
  <c r="D13" i="13" s="1"/>
  <c r="C18" i="13"/>
  <c r="D18" i="13" s="1"/>
  <c r="C17" i="13"/>
  <c r="D17" i="13" s="1"/>
  <c r="C64" i="13"/>
  <c r="D64" i="13" s="1"/>
  <c r="C63" i="13"/>
  <c r="D63" i="13" s="1"/>
  <c r="C62" i="13"/>
  <c r="D62" i="13" s="1"/>
  <c r="C61" i="13"/>
  <c r="D61" i="13" s="1"/>
  <c r="C60" i="13"/>
  <c r="D60" i="13" s="1"/>
  <c r="C59" i="13"/>
  <c r="D59" i="13" s="1"/>
  <c r="C58" i="13"/>
  <c r="D58" i="13" s="1"/>
  <c r="C57" i="13"/>
  <c r="D57" i="13" s="1"/>
  <c r="C56" i="13"/>
  <c r="D56" i="13" s="1"/>
  <c r="C55" i="13"/>
  <c r="D55" i="13" s="1"/>
  <c r="C54" i="13"/>
  <c r="D54" i="13" s="1"/>
  <c r="C53" i="13"/>
  <c r="D53" i="13" s="1"/>
  <c r="C52" i="13"/>
  <c r="D52" i="13" s="1"/>
  <c r="C51" i="13"/>
  <c r="D51" i="13" s="1"/>
  <c r="C50" i="13"/>
  <c r="D50" i="13" s="1"/>
  <c r="C49" i="13"/>
  <c r="D49" i="13" s="1"/>
  <c r="C48" i="13"/>
  <c r="D48" i="13" s="1"/>
  <c r="C47" i="13"/>
  <c r="D47" i="13" s="1"/>
  <c r="C46" i="13"/>
  <c r="D46" i="13" s="1"/>
  <c r="C45" i="13"/>
  <c r="D45" i="13" s="1"/>
  <c r="C44" i="13"/>
  <c r="D44" i="13" s="1"/>
  <c r="C43" i="13"/>
  <c r="D43" i="13" s="1"/>
  <c r="C42" i="13"/>
  <c r="D42" i="13" s="1"/>
  <c r="C41" i="13"/>
  <c r="D41" i="13" s="1"/>
  <c r="C40" i="13"/>
  <c r="D40" i="13" s="1"/>
  <c r="C39" i="13"/>
  <c r="D39" i="13" s="1"/>
  <c r="C38" i="13"/>
  <c r="D38" i="13" s="1"/>
  <c r="C37" i="13"/>
  <c r="D37" i="13" s="1"/>
  <c r="C36" i="13"/>
  <c r="D36" i="13" s="1"/>
  <c r="C35" i="13"/>
  <c r="D35" i="13" s="1"/>
  <c r="C34" i="13"/>
  <c r="D34" i="13" s="1"/>
  <c r="C33" i="13"/>
  <c r="D33" i="13" s="1"/>
  <c r="C32" i="13"/>
  <c r="D32" i="13" s="1"/>
  <c r="C31" i="13"/>
  <c r="D31" i="13" s="1"/>
  <c r="C30" i="13"/>
  <c r="D30" i="13" s="1"/>
  <c r="C29" i="13"/>
  <c r="D29" i="13" s="1"/>
  <c r="C28" i="13"/>
  <c r="D28" i="13" s="1"/>
  <c r="C27" i="13"/>
  <c r="D27" i="13" s="1"/>
  <c r="C26" i="13"/>
  <c r="D26" i="13" s="1"/>
  <c r="C25" i="13"/>
  <c r="D25" i="13" s="1"/>
  <c r="C24" i="13"/>
  <c r="D24" i="13" s="1"/>
  <c r="C23" i="13"/>
  <c r="D23" i="13" s="1"/>
  <c r="C22" i="13"/>
  <c r="D22" i="13" s="1"/>
  <c r="T64" i="13"/>
  <c r="U64" i="13" s="1"/>
  <c r="V64" i="13" s="1"/>
  <c r="T63" i="13"/>
  <c r="U63" i="13" s="1"/>
  <c r="V63" i="13" s="1"/>
  <c r="T62" i="13"/>
  <c r="U62" i="13" s="1"/>
  <c r="V62" i="13" s="1"/>
  <c r="T60" i="13"/>
  <c r="U60" i="13" s="1"/>
  <c r="V60" i="13" s="1"/>
  <c r="T55" i="13"/>
  <c r="U55" i="13" s="1"/>
  <c r="V55" i="13" s="1"/>
  <c r="T54" i="13"/>
  <c r="U54" i="13" s="1"/>
  <c r="V54" i="13" s="1"/>
  <c r="T52" i="13"/>
  <c r="U52" i="13" s="1"/>
  <c r="V52" i="13" s="1"/>
  <c r="T51" i="13"/>
  <c r="U51" i="13" s="1"/>
  <c r="V51" i="13" s="1"/>
  <c r="T49" i="13"/>
  <c r="U49" i="13" s="1"/>
  <c r="V49" i="13" s="1"/>
  <c r="T46" i="13"/>
  <c r="U46" i="13" s="1"/>
  <c r="V46" i="13" s="1"/>
  <c r="T45" i="13"/>
  <c r="U45" i="13" s="1"/>
  <c r="V45" i="13" s="1"/>
  <c r="T43" i="13"/>
  <c r="U43" i="13" s="1"/>
  <c r="V43" i="13" s="1"/>
  <c r="T42" i="13"/>
  <c r="U42" i="13" s="1"/>
  <c r="V42" i="13" s="1"/>
  <c r="T41" i="13"/>
  <c r="U41" i="13" s="1"/>
  <c r="V41" i="13" s="1"/>
  <c r="T34" i="13"/>
  <c r="U34" i="13" s="1"/>
  <c r="V34" i="13" s="1"/>
  <c r="T31" i="13"/>
  <c r="U31" i="13" s="1"/>
  <c r="V31" i="13" s="1"/>
  <c r="T30" i="13"/>
  <c r="U30" i="13" s="1"/>
  <c r="V30" i="13" s="1"/>
  <c r="T25" i="13"/>
  <c r="U25" i="13" s="1"/>
  <c r="V25" i="13" s="1"/>
  <c r="T24" i="13"/>
  <c r="U24" i="13" s="1"/>
  <c r="V24" i="13" s="1"/>
  <c r="T23" i="13"/>
  <c r="U23" i="13" s="1"/>
  <c r="V23" i="13" s="1"/>
  <c r="T22" i="13"/>
  <c r="U22" i="13" s="1"/>
  <c r="V22" i="13" s="1"/>
  <c r="O64" i="13"/>
  <c r="P64" i="13" s="1"/>
  <c r="Q64" i="13" s="1"/>
  <c r="O63" i="13"/>
  <c r="P63" i="13" s="1"/>
  <c r="Q63" i="13" s="1"/>
  <c r="O62" i="13"/>
  <c r="P62" i="13" s="1"/>
  <c r="Q62" i="13" s="1"/>
  <c r="O61" i="13"/>
  <c r="P61" i="13" s="1"/>
  <c r="Q61" i="13" s="1"/>
  <c r="O60" i="13"/>
  <c r="P60" i="13" s="1"/>
  <c r="Q60" i="13" s="1"/>
  <c r="O59" i="13"/>
  <c r="P59" i="13" s="1"/>
  <c r="Q59" i="13" s="1"/>
  <c r="O58" i="13"/>
  <c r="P58" i="13" s="1"/>
  <c r="Q58" i="13" s="1"/>
  <c r="O57" i="13"/>
  <c r="P57" i="13" s="1"/>
  <c r="Q57" i="13" s="1"/>
  <c r="O55" i="13"/>
  <c r="P55" i="13" s="1"/>
  <c r="Q55" i="13" s="1"/>
  <c r="O54" i="13"/>
  <c r="P54" i="13" s="1"/>
  <c r="Q54" i="13" s="1"/>
  <c r="O53" i="13"/>
  <c r="P53" i="13" s="1"/>
  <c r="Q53" i="13" s="1"/>
  <c r="O52" i="13"/>
  <c r="P52" i="13" s="1"/>
  <c r="Q52" i="13" s="1"/>
  <c r="O51" i="13"/>
  <c r="P51" i="13" s="1"/>
  <c r="Q51" i="13" s="1"/>
  <c r="O49" i="13"/>
  <c r="P49" i="13" s="1"/>
  <c r="Q49" i="13" s="1"/>
  <c r="O48" i="13"/>
  <c r="P48" i="13" s="1"/>
  <c r="Q48" i="13" s="1"/>
  <c r="O47" i="13"/>
  <c r="P47" i="13" s="1"/>
  <c r="Q47" i="13" s="1"/>
  <c r="O46" i="13"/>
  <c r="P46" i="13" s="1"/>
  <c r="Q46" i="13" s="1"/>
  <c r="O45" i="13"/>
  <c r="P45" i="13" s="1"/>
  <c r="Q45" i="13" s="1"/>
  <c r="O44" i="13"/>
  <c r="P44" i="13" s="1"/>
  <c r="Q44" i="13" s="1"/>
  <c r="O43" i="13"/>
  <c r="P43" i="13" s="1"/>
  <c r="Q43" i="13" s="1"/>
  <c r="O42" i="13"/>
  <c r="P42" i="13" s="1"/>
  <c r="Q42" i="13" s="1"/>
  <c r="O41" i="13"/>
  <c r="P41" i="13" s="1"/>
  <c r="Q41" i="13" s="1"/>
  <c r="O40" i="13"/>
  <c r="P40" i="13" s="1"/>
  <c r="Q40" i="13" s="1"/>
  <c r="O38" i="13"/>
  <c r="P38" i="13" s="1"/>
  <c r="Q38" i="13" s="1"/>
  <c r="O37" i="13"/>
  <c r="P37" i="13" s="1"/>
  <c r="Q37" i="13" s="1"/>
  <c r="O36" i="13"/>
  <c r="P36" i="13" s="1"/>
  <c r="Q36" i="13" s="1"/>
  <c r="O34" i="13"/>
  <c r="P34" i="13" s="1"/>
  <c r="Q34" i="13" s="1"/>
  <c r="O31" i="13"/>
  <c r="P31" i="13" s="1"/>
  <c r="Q31" i="13" s="1"/>
  <c r="O30" i="13"/>
  <c r="P30" i="13" s="1"/>
  <c r="Q30" i="13" s="1"/>
  <c r="O29" i="13"/>
  <c r="P29" i="13" s="1"/>
  <c r="Q29" i="13" s="1"/>
  <c r="O28" i="13"/>
  <c r="P28" i="13" s="1"/>
  <c r="Q28" i="13" s="1"/>
  <c r="O27" i="13"/>
  <c r="P27" i="13" s="1"/>
  <c r="Q27" i="13" s="1"/>
  <c r="O26" i="13"/>
  <c r="P26" i="13" s="1"/>
  <c r="Q26" i="13" s="1"/>
  <c r="O25" i="13"/>
  <c r="P25" i="13" s="1"/>
  <c r="Q25" i="13" s="1"/>
  <c r="O24" i="13"/>
  <c r="P24" i="13" s="1"/>
  <c r="Q24" i="13" s="1"/>
  <c r="O23" i="13"/>
  <c r="P23" i="13" s="1"/>
  <c r="Q23" i="13" s="1"/>
  <c r="O22" i="13"/>
  <c r="P22" i="13" s="1"/>
  <c r="Q22" i="13" s="1"/>
  <c r="O18" i="13"/>
  <c r="P18" i="13" s="1"/>
  <c r="Q18" i="13" s="1"/>
  <c r="T18" i="13"/>
  <c r="U18" i="13" s="1"/>
  <c r="V18" i="13" s="1"/>
  <c r="T17" i="13"/>
  <c r="U17" i="13" s="1"/>
  <c r="T16" i="13"/>
  <c r="U16" i="13" s="1"/>
  <c r="V16" i="13" s="1"/>
  <c r="T15" i="13"/>
  <c r="U15" i="13" s="1"/>
  <c r="V15" i="13" s="1"/>
  <c r="T14" i="13"/>
  <c r="U14" i="13" s="1"/>
  <c r="V14" i="13" s="1"/>
  <c r="T13" i="13"/>
  <c r="U13" i="13" s="1"/>
  <c r="V13" i="13" s="1"/>
  <c r="T12" i="13"/>
  <c r="U12" i="13" s="1"/>
  <c r="V12" i="13" s="1"/>
  <c r="T11" i="13"/>
  <c r="U11" i="13" s="1"/>
  <c r="V11" i="13" s="1"/>
  <c r="T10" i="13"/>
  <c r="U10" i="13" s="1"/>
  <c r="V10" i="13" s="1"/>
  <c r="T9" i="13"/>
  <c r="U9" i="13" s="1"/>
  <c r="V9" i="13" s="1"/>
  <c r="T8" i="13"/>
  <c r="U8" i="13" s="1"/>
  <c r="V8" i="13" s="1"/>
  <c r="T7" i="13"/>
  <c r="U7" i="13" s="1"/>
  <c r="V7" i="13" s="1"/>
  <c r="O17" i="13"/>
  <c r="P17" i="13" s="1"/>
  <c r="O16" i="13"/>
  <c r="P16" i="13" s="1"/>
  <c r="O15" i="13"/>
  <c r="P15" i="13" s="1"/>
  <c r="Q15" i="13" s="1"/>
  <c r="O14" i="13"/>
  <c r="P14" i="13" s="1"/>
  <c r="Q14" i="13" s="1"/>
  <c r="O13" i="13"/>
  <c r="P13" i="13" s="1"/>
  <c r="Q13" i="13" s="1"/>
  <c r="O12" i="13"/>
  <c r="P12" i="13" s="1"/>
  <c r="Q12" i="13" s="1"/>
  <c r="O11" i="13"/>
  <c r="P11" i="13" s="1"/>
  <c r="Q11" i="13" s="1"/>
  <c r="O10" i="13"/>
  <c r="P10" i="13" s="1"/>
  <c r="Q10" i="13" s="1"/>
  <c r="O9" i="13"/>
  <c r="P9" i="13" s="1"/>
  <c r="Q9" i="13" s="1"/>
  <c r="O8" i="13"/>
  <c r="P8" i="13" s="1"/>
  <c r="Q8" i="13" s="1"/>
  <c r="O7" i="13"/>
  <c r="P7" i="13" s="1"/>
  <c r="Q7" i="13" s="1"/>
  <c r="J64" i="13"/>
  <c r="K64" i="13" s="1"/>
  <c r="L64" i="13" s="1"/>
  <c r="J63" i="13"/>
  <c r="K63" i="13" s="1"/>
  <c r="L63" i="13" s="1"/>
  <c r="J62" i="13"/>
  <c r="K62" i="13" s="1"/>
  <c r="L62" i="13" s="1"/>
  <c r="J60" i="13"/>
  <c r="K60" i="13" s="1"/>
  <c r="L60" i="13" s="1"/>
  <c r="J59" i="13"/>
  <c r="K59" i="13" s="1"/>
  <c r="L59" i="13" s="1"/>
  <c r="J58" i="13"/>
  <c r="K58" i="13" s="1"/>
  <c r="L58" i="13" s="1"/>
  <c r="J57" i="13"/>
  <c r="K57" i="13" s="1"/>
  <c r="L57" i="13" s="1"/>
  <c r="J56" i="13"/>
  <c r="K56" i="13" s="1"/>
  <c r="L56" i="13" s="1"/>
  <c r="J55" i="13"/>
  <c r="K55" i="13" s="1"/>
  <c r="L55" i="13" s="1"/>
  <c r="J54" i="13"/>
  <c r="K54" i="13" s="1"/>
  <c r="L54" i="13" s="1"/>
  <c r="J53" i="13"/>
  <c r="K53" i="13" s="1"/>
  <c r="L53" i="13" s="1"/>
  <c r="J52" i="13"/>
  <c r="K52" i="13" s="1"/>
  <c r="L52" i="13" s="1"/>
  <c r="J51" i="13"/>
  <c r="K51" i="13" s="1"/>
  <c r="L51" i="13" s="1"/>
  <c r="J50" i="13"/>
  <c r="K50" i="13" s="1"/>
  <c r="L50" i="13" s="1"/>
  <c r="J49" i="13"/>
  <c r="K49" i="13" s="1"/>
  <c r="L49" i="13" s="1"/>
  <c r="J48" i="13"/>
  <c r="K48" i="13" s="1"/>
  <c r="L48" i="13" s="1"/>
  <c r="J47" i="13"/>
  <c r="K47" i="13" s="1"/>
  <c r="L47" i="13" s="1"/>
  <c r="J46" i="13"/>
  <c r="K46" i="13" s="1"/>
  <c r="L46" i="13" s="1"/>
  <c r="J45" i="13"/>
  <c r="K45" i="13" s="1"/>
  <c r="L45" i="13" s="1"/>
  <c r="J44" i="13"/>
  <c r="K44" i="13" s="1"/>
  <c r="L44" i="13" s="1"/>
  <c r="J43" i="13"/>
  <c r="K43" i="13" s="1"/>
  <c r="L43" i="13" s="1"/>
  <c r="J42" i="13"/>
  <c r="K42" i="13" s="1"/>
  <c r="L42" i="13" s="1"/>
  <c r="J41" i="13"/>
  <c r="K41" i="13" s="1"/>
  <c r="L41" i="13" s="1"/>
  <c r="J40" i="13"/>
  <c r="K40" i="13" s="1"/>
  <c r="L40" i="13" s="1"/>
  <c r="J39" i="13"/>
  <c r="K39" i="13" s="1"/>
  <c r="L39" i="13" s="1"/>
  <c r="J38" i="13"/>
  <c r="K38" i="13" s="1"/>
  <c r="L38" i="13" s="1"/>
  <c r="J37" i="13"/>
  <c r="K37" i="13" s="1"/>
  <c r="L37" i="13" s="1"/>
  <c r="J36" i="13"/>
  <c r="K36" i="13" s="1"/>
  <c r="L36" i="13" s="1"/>
  <c r="J35" i="13"/>
  <c r="K35" i="13" s="1"/>
  <c r="L35" i="13" s="1"/>
  <c r="J34" i="13"/>
  <c r="K34" i="13" s="1"/>
  <c r="L34" i="13" s="1"/>
  <c r="J33" i="13"/>
  <c r="K33" i="13" s="1"/>
  <c r="L33" i="13" s="1"/>
  <c r="J32" i="13"/>
  <c r="K32" i="13" s="1"/>
  <c r="L32" i="13" s="1"/>
  <c r="J31" i="13"/>
  <c r="K31" i="13" s="1"/>
  <c r="L31" i="13" s="1"/>
  <c r="J30" i="13"/>
  <c r="K30" i="13" s="1"/>
  <c r="L30" i="13" s="1"/>
  <c r="J29" i="13"/>
  <c r="K29" i="13" s="1"/>
  <c r="L29" i="13" s="1"/>
  <c r="J28" i="13"/>
  <c r="K28" i="13" s="1"/>
  <c r="L28" i="13" s="1"/>
  <c r="J27" i="13"/>
  <c r="K27" i="13" s="1"/>
  <c r="L27" i="13" s="1"/>
  <c r="J26" i="13"/>
  <c r="K26" i="13" s="1"/>
  <c r="L26" i="13" s="1"/>
  <c r="J25" i="13"/>
  <c r="K25" i="13" s="1"/>
  <c r="L25" i="13" s="1"/>
  <c r="J24" i="13"/>
  <c r="K24" i="13" s="1"/>
  <c r="L24" i="13" s="1"/>
  <c r="J23" i="13"/>
  <c r="K23" i="13" s="1"/>
  <c r="L23" i="13" s="1"/>
  <c r="J22" i="13"/>
  <c r="K22" i="13" s="1"/>
  <c r="J18" i="13"/>
  <c r="K18" i="13" s="1"/>
  <c r="L18" i="13" s="1"/>
  <c r="J17" i="13"/>
  <c r="K17" i="13" s="1"/>
  <c r="J16" i="13"/>
  <c r="K16" i="13" s="1"/>
  <c r="J15" i="13"/>
  <c r="K15" i="13" s="1"/>
  <c r="L15" i="13" s="1"/>
  <c r="J14" i="13"/>
  <c r="K14" i="13" s="1"/>
  <c r="L14" i="13" s="1"/>
  <c r="J13" i="13"/>
  <c r="K13" i="13" s="1"/>
  <c r="L13" i="13" s="1"/>
  <c r="J12" i="13"/>
  <c r="K12" i="13" s="1"/>
  <c r="L12" i="13" s="1"/>
  <c r="J11" i="13"/>
  <c r="K11" i="13" s="1"/>
  <c r="L11" i="13" s="1"/>
  <c r="J10" i="13"/>
  <c r="K10" i="13" s="1"/>
  <c r="L10" i="13" s="1"/>
  <c r="J9" i="13"/>
  <c r="K9" i="13" s="1"/>
  <c r="L9" i="13" s="1"/>
  <c r="J8" i="13"/>
  <c r="K8" i="13" s="1"/>
  <c r="L8" i="13" s="1"/>
  <c r="J7" i="13"/>
  <c r="K7" i="13" s="1"/>
  <c r="L7" i="13" s="1"/>
  <c r="K66" i="13" l="1"/>
  <c r="P19" i="13"/>
  <c r="K19" i="13"/>
  <c r="P20" i="13"/>
  <c r="K20" i="13"/>
  <c r="U20" i="13"/>
  <c r="V19" i="13"/>
  <c r="P66" i="13"/>
  <c r="L17" i="13"/>
  <c r="Q17" i="13"/>
  <c r="V17" i="13"/>
  <c r="U66" i="13"/>
  <c r="L16" i="13"/>
  <c r="L19" i="13" s="1"/>
  <c r="U19" i="13"/>
  <c r="Q16" i="13"/>
  <c r="Q19" i="13" s="1"/>
  <c r="L22" i="13"/>
  <c r="L66" i="13" s="1"/>
  <c r="L20" i="13"/>
  <c r="Q20" i="13"/>
  <c r="V20" i="13"/>
  <c r="Q66" i="13"/>
  <c r="V66" i="13"/>
  <c r="A61" i="13" l="1"/>
  <c r="A59" i="13"/>
  <c r="A58" i="13"/>
  <c r="A57" i="13"/>
  <c r="A56" i="13"/>
  <c r="A53" i="13"/>
  <c r="A50" i="13"/>
  <c r="A48" i="13"/>
  <c r="A47" i="13"/>
  <c r="A44" i="13"/>
  <c r="A40" i="13"/>
  <c r="A39" i="13"/>
  <c r="A38" i="13"/>
  <c r="A37" i="13"/>
  <c r="A36" i="13"/>
  <c r="A35" i="13"/>
  <c r="A33" i="13"/>
  <c r="A32" i="13"/>
  <c r="A29" i="13"/>
  <c r="A28" i="13"/>
  <c r="A27" i="13"/>
  <c r="A26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4" i="13"/>
  <c r="E23" i="13"/>
  <c r="E22" i="13"/>
  <c r="M61" i="13" l="1"/>
  <c r="W61" i="13"/>
  <c r="R61" i="13"/>
  <c r="R26" i="13"/>
  <c r="W26" i="13"/>
  <c r="M26" i="13"/>
  <c r="R30" i="13"/>
  <c r="W30" i="13"/>
  <c r="M30" i="13"/>
  <c r="R34" i="13"/>
  <c r="W34" i="13"/>
  <c r="M34" i="13"/>
  <c r="R38" i="13"/>
  <c r="W38" i="13"/>
  <c r="M38" i="13"/>
  <c r="R42" i="13"/>
  <c r="W42" i="13"/>
  <c r="M42" i="13"/>
  <c r="R46" i="13"/>
  <c r="W46" i="13"/>
  <c r="M46" i="13"/>
  <c r="R50" i="13"/>
  <c r="W50" i="13"/>
  <c r="M50" i="13"/>
  <c r="R54" i="13"/>
  <c r="W54" i="13"/>
  <c r="M54" i="13"/>
  <c r="R58" i="13"/>
  <c r="W58" i="13"/>
  <c r="M58" i="13"/>
  <c r="R62" i="13"/>
  <c r="W62" i="13"/>
  <c r="M62" i="13"/>
  <c r="W27" i="13"/>
  <c r="M27" i="13"/>
  <c r="R27" i="13"/>
  <c r="W31" i="13"/>
  <c r="M31" i="13"/>
  <c r="R31" i="13"/>
  <c r="W35" i="13"/>
  <c r="M35" i="13"/>
  <c r="R35" i="13"/>
  <c r="W39" i="13"/>
  <c r="M39" i="13"/>
  <c r="R39" i="13"/>
  <c r="W43" i="13"/>
  <c r="M43" i="13"/>
  <c r="R43" i="13"/>
  <c r="W47" i="13"/>
  <c r="M47" i="13"/>
  <c r="R47" i="13"/>
  <c r="W51" i="13"/>
  <c r="M51" i="13"/>
  <c r="R51" i="13"/>
  <c r="W55" i="13"/>
  <c r="M55" i="13"/>
  <c r="R55" i="13"/>
  <c r="W59" i="13"/>
  <c r="M59" i="13"/>
  <c r="R59" i="13"/>
  <c r="W63" i="13"/>
  <c r="M63" i="13"/>
  <c r="R63" i="13"/>
  <c r="W23" i="13"/>
  <c r="M23" i="13"/>
  <c r="R23" i="13"/>
  <c r="W28" i="13"/>
  <c r="M28" i="13"/>
  <c r="R28" i="13"/>
  <c r="R32" i="13"/>
  <c r="W32" i="13"/>
  <c r="M32" i="13"/>
  <c r="W36" i="13"/>
  <c r="M36" i="13"/>
  <c r="R36" i="13"/>
  <c r="R40" i="13"/>
  <c r="W40" i="13"/>
  <c r="M40" i="13"/>
  <c r="W44" i="13"/>
  <c r="M44" i="13"/>
  <c r="R44" i="13"/>
  <c r="R48" i="13"/>
  <c r="W48" i="13"/>
  <c r="M48" i="13"/>
  <c r="W52" i="13"/>
  <c r="M52" i="13"/>
  <c r="R52" i="13"/>
  <c r="R56" i="13"/>
  <c r="W56" i="13"/>
  <c r="M56" i="13"/>
  <c r="W60" i="13"/>
  <c r="M60" i="13"/>
  <c r="R60" i="13"/>
  <c r="M64" i="13"/>
  <c r="W64" i="13"/>
  <c r="R64" i="13"/>
  <c r="R24" i="13"/>
  <c r="W24" i="13"/>
  <c r="M24" i="13"/>
  <c r="R29" i="13"/>
  <c r="W29" i="13"/>
  <c r="M29" i="13"/>
  <c r="W33" i="13"/>
  <c r="M33" i="13"/>
  <c r="R33" i="13"/>
  <c r="R37" i="13"/>
  <c r="W37" i="13"/>
  <c r="M37" i="13"/>
  <c r="W41" i="13"/>
  <c r="M41" i="13"/>
  <c r="R41" i="13"/>
  <c r="R45" i="13"/>
  <c r="W45" i="13"/>
  <c r="M45" i="13"/>
  <c r="W49" i="13"/>
  <c r="M49" i="13"/>
  <c r="R49" i="13"/>
  <c r="W53" i="13"/>
  <c r="R53" i="13"/>
  <c r="M53" i="13"/>
  <c r="R57" i="13"/>
  <c r="M57" i="13"/>
  <c r="W57" i="13"/>
  <c r="W22" i="13"/>
  <c r="R22" i="13"/>
  <c r="M22" i="13"/>
  <c r="E18" i="13"/>
  <c r="E25" i="13"/>
  <c r="E8" i="13"/>
  <c r="E9" i="13"/>
  <c r="E10" i="13"/>
  <c r="E11" i="13"/>
  <c r="E12" i="13"/>
  <c r="E13" i="13"/>
  <c r="E19" i="13"/>
  <c r="D14" i="13"/>
  <c r="E14" i="13" s="1"/>
  <c r="E17" i="13"/>
  <c r="W25" i="13" l="1"/>
  <c r="M25" i="13"/>
  <c r="R25" i="13"/>
  <c r="W66" i="13"/>
  <c r="R66" i="13"/>
  <c r="M66" i="13"/>
  <c r="W9" i="13"/>
  <c r="M9" i="13"/>
  <c r="R10" i="13"/>
  <c r="R9" i="13"/>
  <c r="W10" i="13"/>
  <c r="M10" i="13"/>
  <c r="R11" i="13"/>
  <c r="W11" i="13"/>
  <c r="M11" i="13"/>
  <c r="R15" i="13"/>
  <c r="W15" i="13"/>
  <c r="M15" i="13"/>
  <c r="R7" i="13"/>
  <c r="W8" i="13"/>
  <c r="M8" i="13"/>
  <c r="W7" i="13"/>
  <c r="M7" i="13"/>
  <c r="R8" i="13"/>
  <c r="W20" i="13"/>
  <c r="M20" i="13"/>
  <c r="R20" i="13"/>
  <c r="W12" i="13"/>
  <c r="M12" i="13"/>
  <c r="R12" i="13"/>
  <c r="R19" i="13"/>
  <c r="W19" i="13"/>
  <c r="M19" i="13"/>
  <c r="W14" i="13"/>
  <c r="M14" i="13"/>
  <c r="R14" i="13"/>
</calcChain>
</file>

<file path=xl/sharedStrings.xml><?xml version="1.0" encoding="utf-8"?>
<sst xmlns="http://schemas.openxmlformats.org/spreadsheetml/2006/main" count="182" uniqueCount="97">
  <si>
    <t>Operational Hours</t>
  </si>
  <si>
    <t>hours/year</t>
  </si>
  <si>
    <t>Rating</t>
  </si>
  <si>
    <r>
      <t>NO</t>
    </r>
    <r>
      <rPr>
        <vertAlign val="subscript"/>
        <sz val="10"/>
        <rFont val="Arial"/>
        <family val="2"/>
      </rPr>
      <t>X</t>
    </r>
  </si>
  <si>
    <t>CO</t>
  </si>
  <si>
    <r>
      <t>PM</t>
    </r>
    <r>
      <rPr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</si>
  <si>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2.5</t>
    </r>
  </si>
  <si>
    <r>
      <t>SO</t>
    </r>
    <r>
      <rPr>
        <vertAlign val="subscript"/>
        <sz val="10"/>
        <rFont val="Arial"/>
        <family val="2"/>
      </rPr>
      <t>2</t>
    </r>
  </si>
  <si>
    <t>VOC</t>
  </si>
  <si>
    <t>2-Methylnaphthalene</t>
  </si>
  <si>
    <t>Acenaphthene</t>
  </si>
  <si>
    <t>Acenaphthylene</t>
  </si>
  <si>
    <t>Anthracene</t>
  </si>
  <si>
    <t>Benz(a)anthracene</t>
  </si>
  <si>
    <t>Benzene</t>
  </si>
  <si>
    <t>Benzo(a)pyrene</t>
  </si>
  <si>
    <t>Benzo(b)fluoranthene</t>
  </si>
  <si>
    <t>Benzo(k)fluoranthene</t>
  </si>
  <si>
    <t>Chrysene</t>
  </si>
  <si>
    <t>Fluoranthene</t>
  </si>
  <si>
    <t>Fluorene</t>
  </si>
  <si>
    <t>Formaldehyde</t>
  </si>
  <si>
    <t>Naphthalene</t>
  </si>
  <si>
    <t>Pyrene</t>
  </si>
  <si>
    <t>Toluene</t>
  </si>
  <si>
    <t>Ethylbenzene</t>
  </si>
  <si>
    <t>Criteria Pollutant</t>
  </si>
  <si>
    <t>Equipment Details</t>
  </si>
  <si>
    <t>Reference</t>
  </si>
  <si>
    <t>Global Warming Potential</t>
  </si>
  <si>
    <t>Methane (mass basis)</t>
  </si>
  <si>
    <t>Emission
Rate
(lbs/hr)</t>
  </si>
  <si>
    <t>Emission
Total
(tons/year)</t>
  </si>
  <si>
    <t>Green House Gas Pollutant</t>
  </si>
  <si>
    <t>HAP</t>
  </si>
  <si>
    <t>Hazardous Air Pollutant</t>
  </si>
  <si>
    <t>See Below</t>
  </si>
  <si>
    <t>Emission Factor
(lb/MMBtu)</t>
  </si>
  <si>
    <t>Emission
Standards
(g/hp-hr)</t>
  </si>
  <si>
    <t>Acetaldehyde</t>
  </si>
  <si>
    <t>Acrolein</t>
  </si>
  <si>
    <t>Phenanthrene</t>
  </si>
  <si>
    <t>1,3-Butadiene</t>
  </si>
  <si>
    <t>Engine Type</t>
  </si>
  <si>
    <t>4-Stroke Lean-Burn</t>
  </si>
  <si>
    <t>Manufacturer Data,
AP-42 Table 3.2-1,
Table 3.2-2, &amp;
Table 3.2-3</t>
  </si>
  <si>
    <t>AP-42 Table 3.2-1,
Table 3.2-2, &amp;
Table 3.2-3</t>
  </si>
  <si>
    <t>1,1,2,2-Tetrachloroethane</t>
  </si>
  <si>
    <t>1,1,2-Trichloroethane</t>
  </si>
  <si>
    <t>1,3-Dichloropropene</t>
  </si>
  <si>
    <t>Carbon Tetrachloride</t>
  </si>
  <si>
    <t>Chlorobenzene</t>
  </si>
  <si>
    <t>Chloroform</t>
  </si>
  <si>
    <t>Ethylene Dibromide</t>
  </si>
  <si>
    <t>Methanol</t>
  </si>
  <si>
    <t>Methylene Chloride</t>
  </si>
  <si>
    <t>PAH</t>
  </si>
  <si>
    <t>Styrene</t>
  </si>
  <si>
    <t>Vinyl Chloride</t>
  </si>
  <si>
    <t>Xylene</t>
  </si>
  <si>
    <t>Natural Gas-Fired Engines</t>
  </si>
  <si>
    <t>lb/MMBtu</t>
  </si>
  <si>
    <t>lb/hr</t>
  </si>
  <si>
    <t>Ton/year</t>
  </si>
  <si>
    <t>CO2</t>
  </si>
  <si>
    <t>SO2</t>
  </si>
  <si>
    <t>Methane</t>
  </si>
  <si>
    <t>TOC</t>
  </si>
  <si>
    <t>Total HAP</t>
  </si>
  <si>
    <t>Check</t>
  </si>
  <si>
    <t>lb/hp-hr</t>
  </si>
  <si>
    <t>BTU/hp-hr</t>
  </si>
  <si>
    <t/>
  </si>
  <si>
    <t>NOX @ 90-105% Load</t>
  </si>
  <si>
    <t>NOX @ &lt;90% Load</t>
  </si>
  <si>
    <t>CO @ 90-105% Load</t>
  </si>
  <si>
    <t>CO @ &lt;90% Load</t>
  </si>
  <si>
    <t>PM2.5 - filterable</t>
  </si>
  <si>
    <t>PM10 - filterable</t>
  </si>
  <si>
    <t>PM - Condensable</t>
  </si>
  <si>
    <t>PM10 - Total</t>
  </si>
  <si>
    <t>PM2.5 - Total</t>
  </si>
  <si>
    <t>2-Stroke Lean-Burn</t>
  </si>
  <si>
    <t>2,2,4-Trimethylpentane</t>
  </si>
  <si>
    <t>Benzo(e)pyrene</t>
  </si>
  <si>
    <t>benzo(g,h,i)perylene</t>
  </si>
  <si>
    <t>Biphenyl</t>
  </si>
  <si>
    <t>Indeno(1,2,3-c,d)pyrene</t>
  </si>
  <si>
    <t>n-Hexane</t>
  </si>
  <si>
    <t>Perylene</t>
  </si>
  <si>
    <t>Phenol</t>
  </si>
  <si>
    <t>Tetrachloroethane</t>
  </si>
  <si>
    <t>4-Stroke Rich-Burn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</si>
  <si>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(mass basis)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</si>
  <si>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</t>
    </r>
  </si>
  <si>
    <t>AP-42 Table 3.2-1,
Table 3.2-2, &amp;
Table 3.2-3
(Some HAP do not popluate based on the type of engine selected.  AP-42 does not list certain HAP for certain types of engines.)</t>
  </si>
  <si>
    <t>Emergency Engines should equal 100 hours of operation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</si>
</sst>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2E4F4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1"/>
    <xf numFmtId="0" fontId="5" fillId="0" borderId="0" xfId="1" applyFont="1" applyFill="1" applyBorder="1"/>
    <xf numFmtId="0" fontId="2" fillId="0" borderId="0" xfId="1" applyBorder="1"/>
    <xf numFmtId="0" fontId="0" fillId="0" borderId="8" xfId="1" applyFont="1" applyFill="1" applyBorder="1"/>
    <xf numFmtId="0" fontId="0" fillId="2" borderId="11" xfId="1" applyFont="1" applyFill="1" applyBorder="1"/>
    <xf numFmtId="0" fontId="2" fillId="0" borderId="14" xfId="1" applyBorder="1"/>
    <xf numFmtId="0" fontId="0" fillId="0" borderId="11" xfId="1" applyFont="1" applyFill="1" applyBorder="1"/>
    <xf numFmtId="0" fontId="0" fillId="0" borderId="7" xfId="1" applyFont="1" applyFill="1" applyBorder="1" applyAlignment="1">
      <alignment horizontal="center" vertical="center" wrapText="1"/>
    </xf>
    <xf numFmtId="0" fontId="3" fillId="4" borderId="21" xfId="0" applyFont="1" applyFill="1" applyBorder="1" applyAlignment="1"/>
    <xf numFmtId="0" fontId="3" fillId="4" borderId="4" xfId="0" applyFont="1" applyFill="1" applyBorder="1" applyAlignment="1"/>
    <xf numFmtId="0" fontId="3" fillId="4" borderId="5" xfId="0" applyFont="1" applyFill="1" applyBorder="1" applyAlignment="1"/>
    <xf numFmtId="0" fontId="3" fillId="4" borderId="19" xfId="0" applyFont="1" applyFill="1" applyBorder="1" applyAlignment="1">
      <alignment wrapText="1"/>
    </xf>
    <xf numFmtId="0" fontId="3" fillId="4" borderId="20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0" fillId="0" borderId="11" xfId="1" applyFont="1" applyFill="1" applyBorder="1" applyAlignment="1">
      <alignment horizontal="left"/>
    </xf>
    <xf numFmtId="0" fontId="0" fillId="2" borderId="11" xfId="1" applyFont="1" applyFill="1" applyBorder="1" applyAlignment="1">
      <alignment horizontal="left"/>
    </xf>
    <xf numFmtId="0" fontId="0" fillId="0" borderId="6" xfId="1" applyFont="1" applyFill="1" applyBorder="1"/>
    <xf numFmtId="0" fontId="0" fillId="0" borderId="0" xfId="1" applyFont="1"/>
    <xf numFmtId="0" fontId="3" fillId="0" borderId="14" xfId="1" applyFont="1" applyBorder="1"/>
    <xf numFmtId="0" fontId="3" fillId="0" borderId="14" xfId="1" applyFont="1" applyFill="1" applyBorder="1"/>
    <xf numFmtId="0" fontId="0" fillId="0" borderId="0" xfId="1" applyFont="1" applyFill="1" applyBorder="1"/>
    <xf numFmtId="0" fontId="2" fillId="0" borderId="31" xfId="1" applyFill="1" applyBorder="1"/>
    <xf numFmtId="0" fontId="3" fillId="0" borderId="33" xfId="1" applyFont="1" applyBorder="1"/>
    <xf numFmtId="11" fontId="2" fillId="0" borderId="30" xfId="1" applyNumberFormat="1" applyFill="1" applyBorder="1"/>
    <xf numFmtId="0" fontId="0" fillId="0" borderId="14" xfId="1" applyFont="1" applyBorder="1"/>
    <xf numFmtId="0" fontId="3" fillId="0" borderId="32" xfId="1" applyFont="1" applyBorder="1"/>
    <xf numFmtId="3" fontId="2" fillId="3" borderId="0" xfId="1" applyNumberFormat="1" applyFill="1"/>
    <xf numFmtId="0" fontId="2" fillId="0" borderId="31" xfId="1" applyBorder="1"/>
    <xf numFmtId="11" fontId="2" fillId="0" borderId="30" xfId="1" applyNumberFormat="1" applyBorder="1"/>
    <xf numFmtId="11" fontId="2" fillId="0" borderId="0" xfId="1" applyNumberFormat="1" applyBorder="1"/>
    <xf numFmtId="2" fontId="2" fillId="0" borderId="0" xfId="1" applyNumberFormat="1" applyBorder="1"/>
    <xf numFmtId="0" fontId="0" fillId="0" borderId="0" xfId="1" applyFont="1" applyBorder="1"/>
    <xf numFmtId="0" fontId="0" fillId="0" borderId="14" xfId="1" applyFont="1" applyFill="1" applyBorder="1"/>
    <xf numFmtId="0" fontId="7" fillId="0" borderId="17" xfId="3" applyFont="1" applyBorder="1"/>
    <xf numFmtId="0" fontId="7" fillId="0" borderId="16" xfId="3" applyFont="1" applyBorder="1"/>
    <xf numFmtId="2" fontId="0" fillId="0" borderId="3" xfId="1" applyNumberFormat="1" applyFont="1" applyFill="1" applyBorder="1"/>
    <xf numFmtId="2" fontId="0" fillId="2" borderId="1" xfId="1" applyNumberFormat="1" applyFont="1" applyFill="1" applyBorder="1"/>
    <xf numFmtId="2" fontId="0" fillId="0" borderId="1" xfId="1" applyNumberFormat="1" applyFont="1" applyFill="1" applyBorder="1"/>
    <xf numFmtId="164" fontId="0" fillId="0" borderId="0" xfId="1" applyNumberFormat="1" applyFont="1" applyFill="1" applyBorder="1"/>
    <xf numFmtId="0" fontId="0" fillId="0" borderId="3" xfId="1" applyNumberFormat="1" applyFont="1" applyFill="1" applyBorder="1"/>
    <xf numFmtId="3" fontId="0" fillId="0" borderId="3" xfId="1" applyNumberFormat="1" applyFont="1" applyFill="1" applyBorder="1"/>
    <xf numFmtId="0" fontId="0" fillId="2" borderId="1" xfId="1" applyNumberFormat="1" applyFont="1" applyFill="1" applyBorder="1"/>
    <xf numFmtId="11" fontId="0" fillId="0" borderId="3" xfId="1" applyNumberFormat="1" applyFont="1" applyFill="1" applyBorder="1"/>
    <xf numFmtId="11" fontId="0" fillId="2" borderId="1" xfId="1" applyNumberFormat="1" applyFont="1" applyFill="1" applyBorder="1"/>
    <xf numFmtId="11" fontId="0" fillId="0" borderId="1" xfId="1" applyNumberFormat="1" applyFont="1" applyFill="1" applyBorder="1"/>
    <xf numFmtId="0" fontId="0" fillId="0" borderId="6" xfId="1" applyFont="1" applyFill="1" applyBorder="1" applyAlignment="1">
      <alignment horizontal="left"/>
    </xf>
    <xf numFmtId="11" fontId="0" fillId="0" borderId="2" xfId="1" applyNumberFormat="1" applyFont="1" applyFill="1" applyBorder="1"/>
    <xf numFmtId="11" fontId="0" fillId="2" borderId="3" xfId="1" applyNumberFormat="1" applyFont="1" applyFill="1" applyBorder="1"/>
    <xf numFmtId="0" fontId="7" fillId="0" borderId="23" xfId="3" applyFont="1" applyBorder="1"/>
    <xf numFmtId="0" fontId="0" fillId="0" borderId="2" xfId="1" applyFont="1" applyFill="1" applyBorder="1"/>
    <xf numFmtId="2" fontId="0" fillId="0" borderId="2" xfId="1" applyNumberFormat="1" applyFont="1" applyFill="1" applyBorder="1"/>
    <xf numFmtId="3" fontId="0" fillId="0" borderId="2" xfId="1" applyNumberFormat="1" applyFont="1" applyFill="1" applyBorder="1"/>
    <xf numFmtId="164" fontId="0" fillId="0" borderId="2" xfId="1" applyNumberFormat="1" applyFont="1" applyFill="1" applyBorder="1"/>
    <xf numFmtId="0" fontId="0" fillId="0" borderId="2" xfId="1" applyNumberFormat="1" applyFont="1" applyFill="1" applyBorder="1"/>
    <xf numFmtId="3" fontId="0" fillId="2" borderId="3" xfId="1" applyNumberFormat="1" applyFont="1" applyFill="1" applyBorder="1"/>
    <xf numFmtId="0" fontId="0" fillId="0" borderId="24" xfId="1" applyFont="1" applyFill="1" applyBorder="1" applyAlignment="1">
      <alignment horizontal="left"/>
    </xf>
    <xf numFmtId="11" fontId="0" fillId="0" borderId="25" xfId="1" applyNumberFormat="1" applyFont="1" applyFill="1" applyBorder="1"/>
    <xf numFmtId="11" fontId="0" fillId="0" borderId="35" xfId="1" applyNumberFormat="1" applyFont="1" applyFill="1" applyBorder="1"/>
    <xf numFmtId="11" fontId="0" fillId="0" borderId="40" xfId="1" applyNumberFormat="1" applyFont="1" applyFill="1" applyBorder="1"/>
    <xf numFmtId="11" fontId="0" fillId="2" borderId="28" xfId="1" applyNumberFormat="1" applyFont="1" applyFill="1" applyBorder="1"/>
    <xf numFmtId="11" fontId="0" fillId="2" borderId="39" xfId="1" applyNumberFormat="1" applyFont="1" applyFill="1" applyBorder="1"/>
    <xf numFmtId="11" fontId="0" fillId="0" borderId="28" xfId="1" applyNumberFormat="1" applyFont="1" applyFill="1" applyBorder="1"/>
    <xf numFmtId="11" fontId="0" fillId="0" borderId="39" xfId="1" applyNumberFormat="1" applyFont="1" applyFill="1" applyBorder="1"/>
    <xf numFmtId="11" fontId="0" fillId="0" borderId="26" xfId="1" applyNumberFormat="1" applyFont="1" applyFill="1" applyBorder="1"/>
    <xf numFmtId="11" fontId="0" fillId="0" borderId="38" xfId="1" applyNumberFormat="1" applyFont="1" applyFill="1" applyBorder="1"/>
    <xf numFmtId="0" fontId="0" fillId="0" borderId="28" xfId="1" applyFont="1" applyFill="1" applyBorder="1"/>
    <xf numFmtId="11" fontId="2" fillId="5" borderId="30" xfId="1" applyNumberFormat="1" applyFill="1" applyBorder="1"/>
    <xf numFmtId="3" fontId="0" fillId="3" borderId="1" xfId="1" applyNumberFormat="1" applyFont="1" applyFill="1" applyBorder="1" applyProtection="1">
      <protection locked="0"/>
    </xf>
    <xf numFmtId="165" fontId="7" fillId="3" borderId="3" xfId="3" applyNumberFormat="1" applyFont="1" applyFill="1" applyBorder="1" applyProtection="1">
      <protection locked="0"/>
    </xf>
    <xf numFmtId="165" fontId="7" fillId="3" borderId="1" xfId="3" applyNumberFormat="1" applyFont="1" applyFill="1" applyBorder="1" applyProtection="1">
      <protection locked="0"/>
    </xf>
    <xf numFmtId="165" fontId="0" fillId="3" borderId="3" xfId="1" applyNumberFormat="1" applyFont="1" applyFill="1" applyBorder="1" applyProtection="1">
      <protection locked="0"/>
    </xf>
    <xf numFmtId="165" fontId="0" fillId="3" borderId="1" xfId="1" applyNumberFormat="1" applyFont="1" applyFill="1" applyBorder="1" applyProtection="1">
      <protection locked="0"/>
    </xf>
    <xf numFmtId="0" fontId="3" fillId="4" borderId="36" xfId="0" applyFont="1" applyFill="1" applyBorder="1" applyAlignment="1">
      <alignment horizontal="center" wrapText="1"/>
    </xf>
    <xf numFmtId="0" fontId="3" fillId="4" borderId="37" xfId="0" applyFont="1" applyFill="1" applyBorder="1" applyAlignment="1">
      <alignment horizontal="center" wrapText="1"/>
    </xf>
    <xf numFmtId="0" fontId="3" fillId="0" borderId="3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0" fillId="0" borderId="15" xfId="1" applyFont="1" applyFill="1" applyBorder="1" applyAlignment="1">
      <alignment horizontal="center" vertical="center" wrapText="1"/>
    </xf>
    <xf numFmtId="0" fontId="0" fillId="0" borderId="22" xfId="1" applyFont="1" applyFill="1" applyBorder="1" applyAlignment="1">
      <alignment horizontal="center" vertical="center" wrapText="1"/>
    </xf>
    <xf numFmtId="0" fontId="0" fillId="0" borderId="13" xfId="1" applyFont="1" applyFill="1" applyBorder="1" applyAlignment="1">
      <alignment horizontal="center" vertical="center" wrapText="1"/>
    </xf>
    <xf numFmtId="0" fontId="0" fillId="0" borderId="15" xfId="1" applyFont="1" applyBorder="1" applyAlignment="1">
      <alignment horizontal="center" vertical="center" wrapText="1"/>
    </xf>
    <xf numFmtId="0" fontId="0" fillId="0" borderId="12" xfId="1" applyFont="1" applyBorder="1" applyAlignment="1">
      <alignment horizontal="center" vertical="center" wrapText="1"/>
    </xf>
    <xf numFmtId="0" fontId="0" fillId="0" borderId="10" xfId="1" applyFont="1" applyBorder="1" applyAlignment="1">
      <alignment horizontal="center" vertical="center" wrapText="1"/>
    </xf>
    <xf numFmtId="0" fontId="0" fillId="0" borderId="12" xfId="1" applyFont="1" applyFill="1" applyBorder="1" applyAlignment="1">
      <alignment horizontal="center" vertical="center" wrapText="1"/>
    </xf>
    <xf numFmtId="0" fontId="0" fillId="0" borderId="9" xfId="1" applyFont="1" applyFill="1" applyBorder="1" applyAlignment="1">
      <alignment horizontal="center" vertical="center" wrapText="1"/>
    </xf>
    <xf numFmtId="3" fontId="0" fillId="3" borderId="26" xfId="1" applyNumberFormat="1" applyFont="1" applyFill="1" applyBorder="1" applyAlignment="1" applyProtection="1">
      <alignment horizontal="center"/>
      <protection locked="0"/>
    </xf>
    <xf numFmtId="3" fontId="0" fillId="3" borderId="34" xfId="1" applyNumberFormat="1" applyFont="1" applyFill="1" applyBorder="1" applyAlignment="1" applyProtection="1">
      <alignment horizontal="center"/>
      <protection locked="0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</cellXfs>
  <cellStyles count="5">
    <cellStyle name="Comma 2" xfId="2"/>
    <cellStyle name="Comma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FFFF99"/>
      <color rgb="FFCCFFCC"/>
      <color rgb="FFA2E4F4"/>
      <color rgb="FF8EDFF2"/>
      <color rgb="FF57CFEB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0"/>
  <sheetViews>
    <sheetView tabSelected="1" zoomScaleNormal="100" workbookViewId="0">
      <selection activeCell="B3" sqref="B3"/>
    </sheetView>
  </sheetViews>
  <sheetFormatPr defaultColWidth="8.85546875" defaultRowHeight="12.75" x14ac:dyDescent="0.2"/>
  <cols>
    <col min="1" max="1" width="28.28515625" style="1" bestFit="1" customWidth="1"/>
    <col min="2" max="2" width="10.140625" style="1" bestFit="1" customWidth="1"/>
    <col min="3" max="3" width="15" style="1" bestFit="1" customWidth="1"/>
    <col min="4" max="4" width="10.5703125" style="1" bestFit="1" customWidth="1"/>
    <col min="5" max="5" width="10.42578125" style="1" bestFit="1" customWidth="1"/>
    <col min="6" max="6" width="18.28515625" style="1" bestFit="1" customWidth="1"/>
    <col min="7" max="7" width="9.28515625" style="1" bestFit="1" customWidth="1"/>
    <col min="8" max="8" width="22.42578125" style="1" hidden="1" customWidth="1"/>
    <col min="9" max="9" width="9.42578125" style="1" hidden="1" customWidth="1"/>
    <col min="10" max="10" width="9.28515625" style="1" hidden="1" customWidth="1"/>
    <col min="11" max="11" width="0" style="1" hidden="1" customWidth="1"/>
    <col min="12" max="12" width="9" style="1" hidden="1" customWidth="1"/>
    <col min="13" max="13" width="6.5703125" style="1" hidden="1" customWidth="1"/>
    <col min="14" max="14" width="9.42578125" style="1" hidden="1" customWidth="1"/>
    <col min="15" max="15" width="9.28515625" style="1" hidden="1" customWidth="1"/>
    <col min="16" max="16" width="0" style="1" hidden="1" customWidth="1"/>
    <col min="17" max="17" width="9" style="1" hidden="1" customWidth="1"/>
    <col min="18" max="18" width="6.5703125" style="1" hidden="1" customWidth="1"/>
    <col min="19" max="19" width="9.42578125" style="1" hidden="1" customWidth="1"/>
    <col min="20" max="20" width="9.28515625" style="1" hidden="1" customWidth="1"/>
    <col min="21" max="21" width="0" style="1" hidden="1" customWidth="1"/>
    <col min="22" max="22" width="9" style="1" hidden="1" customWidth="1"/>
    <col min="23" max="23" width="6.5703125" style="1" hidden="1" customWidth="1"/>
    <col min="24" max="16384" width="8.85546875" style="1"/>
  </cols>
  <sheetData>
    <row r="1" spans="1:23" ht="21" thickBot="1" x14ac:dyDescent="0.35">
      <c r="A1" s="78" t="s">
        <v>60</v>
      </c>
      <c r="B1" s="78"/>
      <c r="C1" s="78"/>
      <c r="D1" s="78"/>
      <c r="E1" s="78"/>
      <c r="F1" s="78"/>
      <c r="I1" s="27">
        <v>7000</v>
      </c>
      <c r="J1" s="18" t="s">
        <v>71</v>
      </c>
    </row>
    <row r="2" spans="1:23" x14ac:dyDescent="0.2">
      <c r="A2" s="9" t="s">
        <v>27</v>
      </c>
      <c r="B2" s="10"/>
      <c r="C2" s="10"/>
      <c r="D2" s="10"/>
      <c r="E2" s="11"/>
      <c r="F2" s="18"/>
    </row>
    <row r="3" spans="1:23" ht="15" customHeight="1" x14ac:dyDescent="0.2">
      <c r="A3" s="34" t="s">
        <v>2</v>
      </c>
      <c r="B3" s="68">
        <v>750</v>
      </c>
      <c r="C3" s="66" t="str">
        <f>CONCATENATE("hp = (",ROUNDUP(B3/1.34,1)," kw)")</f>
        <v>hp = (559.8 kw)</v>
      </c>
      <c r="D3" s="89" t="s">
        <v>96</v>
      </c>
      <c r="E3" s="90"/>
      <c r="F3" s="18"/>
    </row>
    <row r="4" spans="1:23" ht="15" customHeight="1" x14ac:dyDescent="0.2">
      <c r="A4" s="49" t="s">
        <v>0</v>
      </c>
      <c r="B4" s="68">
        <v>8760</v>
      </c>
      <c r="C4" s="66" t="s">
        <v>1</v>
      </c>
      <c r="D4" s="89"/>
      <c r="E4" s="90"/>
      <c r="F4" s="18"/>
    </row>
    <row r="5" spans="1:23" ht="13.5" thickBot="1" x14ac:dyDescent="0.25">
      <c r="A5" s="35" t="s">
        <v>43</v>
      </c>
      <c r="B5" s="87" t="s">
        <v>44</v>
      </c>
      <c r="C5" s="88"/>
      <c r="D5" s="91"/>
      <c r="E5" s="92"/>
      <c r="F5" s="18"/>
      <c r="I5" s="75" t="s">
        <v>82</v>
      </c>
      <c r="J5" s="76"/>
      <c r="K5" s="76"/>
      <c r="L5" s="76"/>
      <c r="M5" s="77"/>
      <c r="N5" s="75" t="s">
        <v>44</v>
      </c>
      <c r="O5" s="76"/>
      <c r="P5" s="76"/>
      <c r="Q5" s="76"/>
      <c r="R5" s="77"/>
      <c r="S5" s="75" t="s">
        <v>92</v>
      </c>
      <c r="T5" s="76"/>
      <c r="U5" s="76"/>
      <c r="V5" s="76"/>
      <c r="W5" s="77"/>
    </row>
    <row r="6" spans="1:23" ht="13.5" thickBot="1" x14ac:dyDescent="0.25">
      <c r="A6" s="33"/>
      <c r="B6" s="33"/>
      <c r="C6" s="33"/>
      <c r="D6" s="33"/>
      <c r="E6" s="25"/>
      <c r="F6" s="25"/>
      <c r="H6" s="6"/>
      <c r="I6" s="26" t="s">
        <v>61</v>
      </c>
      <c r="J6" s="19" t="s">
        <v>70</v>
      </c>
      <c r="K6" s="20" t="s">
        <v>62</v>
      </c>
      <c r="L6" s="20" t="s">
        <v>63</v>
      </c>
      <c r="M6" s="23" t="s">
        <v>69</v>
      </c>
      <c r="N6" s="26" t="s">
        <v>61</v>
      </c>
      <c r="O6" s="19" t="s">
        <v>70</v>
      </c>
      <c r="P6" s="20" t="s">
        <v>62</v>
      </c>
      <c r="Q6" s="20" t="s">
        <v>63</v>
      </c>
      <c r="R6" s="23" t="s">
        <v>69</v>
      </c>
      <c r="S6" s="26" t="s">
        <v>61</v>
      </c>
      <c r="T6" s="19" t="s">
        <v>70</v>
      </c>
      <c r="U6" s="20" t="s">
        <v>62</v>
      </c>
      <c r="V6" s="20" t="s">
        <v>63</v>
      </c>
      <c r="W6" s="23" t="s">
        <v>69</v>
      </c>
    </row>
    <row r="7" spans="1:23" ht="42.75" customHeight="1" thickBot="1" x14ac:dyDescent="0.25">
      <c r="A7" s="12" t="s">
        <v>26</v>
      </c>
      <c r="B7" s="13" t="s">
        <v>38</v>
      </c>
      <c r="C7" s="13" t="s">
        <v>37</v>
      </c>
      <c r="D7" s="13" t="s">
        <v>31</v>
      </c>
      <c r="E7" s="13" t="s">
        <v>32</v>
      </c>
      <c r="F7" s="14" t="s">
        <v>28</v>
      </c>
      <c r="H7" s="18" t="s">
        <v>73</v>
      </c>
      <c r="I7" s="67">
        <v>3.17</v>
      </c>
      <c r="J7" s="30">
        <f>I7*$I$1/1000000</f>
        <v>2.2190000000000001E-2</v>
      </c>
      <c r="K7" s="31">
        <f t="shared" ref="K7:K18" si="0">J7*$B$3</f>
        <v>16.642500000000002</v>
      </c>
      <c r="L7" s="31">
        <f>K7*$B$4/2000</f>
        <v>72.89415000000001</v>
      </c>
      <c r="M7" s="22" t="str">
        <f>IF($E$8=L7,"Match","")</f>
        <v/>
      </c>
      <c r="N7" s="67">
        <v>4.08</v>
      </c>
      <c r="O7" s="30">
        <f t="shared" ref="O7:O17" si="1">N7*$I$1/1000000</f>
        <v>2.8559999999999999E-2</v>
      </c>
      <c r="P7" s="31">
        <f>O7*$B$3</f>
        <v>21.419999999999998</v>
      </c>
      <c r="Q7" s="31">
        <f t="shared" ref="Q7:Q18" si="2">P7*$B$4/2000</f>
        <v>93.819599999999994</v>
      </c>
      <c r="R7" s="22" t="str">
        <f>IF($E$8=Q7,"Match","")</f>
        <v>Match</v>
      </c>
      <c r="S7" s="67">
        <v>2.21</v>
      </c>
      <c r="T7" s="30">
        <f t="shared" ref="T7:T18" si="3">S7*$I$1/1000000</f>
        <v>1.5469999999999999E-2</v>
      </c>
      <c r="U7" s="31">
        <f t="shared" ref="U7:U18" si="4">T7*$B$3</f>
        <v>11.602499999999999</v>
      </c>
      <c r="V7" s="31">
        <f t="shared" ref="V7:V18" si="5">U7*$B$4/2000</f>
        <v>50.818949999999994</v>
      </c>
      <c r="W7" s="22" t="str">
        <f>IF($E$8=V7,"Match","")</f>
        <v/>
      </c>
    </row>
    <row r="8" spans="1:23" ht="15.75" customHeight="1" x14ac:dyDescent="0.3">
      <c r="A8" s="4" t="s">
        <v>3</v>
      </c>
      <c r="B8" s="69"/>
      <c r="C8" s="43">
        <f>IF(B8="",IF($B$5="2-Stroke Lean-Burn",I7,IF($B$5="4-Stroke Lean-Burn",N7,S7)),"")</f>
        <v>4.08</v>
      </c>
      <c r="D8" s="36">
        <f>IF(B8="",C8*$B$3*($I$1/1000000),B8*$B$3/453.6)</f>
        <v>21.42</v>
      </c>
      <c r="E8" s="36">
        <f t="shared" ref="E8:E14" si="6">D8*$B$4/2000</f>
        <v>93.819600000000008</v>
      </c>
      <c r="F8" s="79" t="s">
        <v>45</v>
      </c>
      <c r="H8" s="18" t="s">
        <v>74</v>
      </c>
      <c r="I8" s="67">
        <v>1.94</v>
      </c>
      <c r="J8" s="30">
        <f t="shared" ref="J8:J18" si="7">I8*$I$1/1000000</f>
        <v>1.358E-2</v>
      </c>
      <c r="K8" s="31">
        <f t="shared" si="0"/>
        <v>10.185</v>
      </c>
      <c r="L8" s="31">
        <f t="shared" ref="L8:L18" si="8">K8*$B$4/2000</f>
        <v>44.610300000000002</v>
      </c>
      <c r="M8" s="22" t="str">
        <f t="shared" ref="M8" si="9">IF($E$8=L8,"Match","")</f>
        <v/>
      </c>
      <c r="N8" s="67">
        <v>0.84699999999999998</v>
      </c>
      <c r="O8" s="30">
        <f t="shared" si="1"/>
        <v>5.9290000000000002E-3</v>
      </c>
      <c r="P8" s="31">
        <f t="shared" ref="P8:P18" si="10">O8*$B$3</f>
        <v>4.4467499999999998</v>
      </c>
      <c r="Q8" s="31">
        <f t="shared" si="2"/>
        <v>19.476765</v>
      </c>
      <c r="R8" s="22" t="str">
        <f t="shared" ref="R8" si="11">IF($E$8=Q8,"Match","")</f>
        <v/>
      </c>
      <c r="S8" s="67">
        <v>2.27</v>
      </c>
      <c r="T8" s="30">
        <f t="shared" si="3"/>
        <v>1.5890000000000001E-2</v>
      </c>
      <c r="U8" s="31">
        <f t="shared" si="4"/>
        <v>11.9175</v>
      </c>
      <c r="V8" s="31">
        <f t="shared" si="5"/>
        <v>52.198650000000001</v>
      </c>
      <c r="W8" s="22" t="str">
        <f t="shared" ref="W8" si="12">IF($E$8=V8,"Match","")</f>
        <v/>
      </c>
    </row>
    <row r="9" spans="1:23" x14ac:dyDescent="0.2">
      <c r="A9" s="5" t="s">
        <v>4</v>
      </c>
      <c r="B9" s="70"/>
      <c r="C9" s="44">
        <f>IF(B9="",IF($B$5="2-Stroke Lean-Burn",I9,IF($B$5="4-Stroke Lean-Burn",N9,S9)),"")</f>
        <v>0.317</v>
      </c>
      <c r="D9" s="37">
        <f>IF(B9="",C9*$B$3*($I$1/1000000),B9*$B$3/453.6)</f>
        <v>1.66425</v>
      </c>
      <c r="E9" s="37">
        <f t="shared" si="6"/>
        <v>7.289415</v>
      </c>
      <c r="F9" s="85"/>
      <c r="H9" s="18" t="s">
        <v>75</v>
      </c>
      <c r="I9" s="67">
        <v>0.38600000000000001</v>
      </c>
      <c r="J9" s="30">
        <f t="shared" si="7"/>
        <v>2.702E-3</v>
      </c>
      <c r="K9" s="31">
        <f t="shared" si="0"/>
        <v>2.0265</v>
      </c>
      <c r="L9" s="31">
        <f t="shared" si="8"/>
        <v>8.8760700000000003</v>
      </c>
      <c r="M9" s="22" t="str">
        <f>IF($E$9=L9,"Match","")</f>
        <v/>
      </c>
      <c r="N9" s="67">
        <v>0.317</v>
      </c>
      <c r="O9" s="30">
        <f t="shared" si="1"/>
        <v>2.2190000000000001E-3</v>
      </c>
      <c r="P9" s="31">
        <f t="shared" si="10"/>
        <v>1.66425</v>
      </c>
      <c r="Q9" s="31">
        <f t="shared" si="2"/>
        <v>7.289415</v>
      </c>
      <c r="R9" s="22" t="str">
        <f>IF($E$9=Q9,"Match","")</f>
        <v>Match</v>
      </c>
      <c r="S9" s="67">
        <v>3.72</v>
      </c>
      <c r="T9" s="30">
        <f t="shared" si="3"/>
        <v>2.6040000000000001E-2</v>
      </c>
      <c r="U9" s="31">
        <f t="shared" si="4"/>
        <v>19.53</v>
      </c>
      <c r="V9" s="31">
        <f t="shared" si="5"/>
        <v>85.54140000000001</v>
      </c>
      <c r="W9" s="22" t="str">
        <f>IF($E$9=V9,"Match","")</f>
        <v/>
      </c>
    </row>
    <row r="10" spans="1:23" ht="15.75" customHeight="1" x14ac:dyDescent="0.3">
      <c r="A10" s="7" t="s">
        <v>5</v>
      </c>
      <c r="B10" s="71"/>
      <c r="C10" s="45">
        <f>IF(B10="",IF($B$5="2-Stroke Lean-Burn",I19,IF($B$5="4-Stroke Lean-Burn",N19,S19)),"")</f>
        <v>9.9871000000000005E-3</v>
      </c>
      <c r="D10" s="38">
        <f>IF(B10="",C10*$B$3*($I$1/1000000),B10*$B$3/453.6)</f>
        <v>5.2432275E-2</v>
      </c>
      <c r="E10" s="38">
        <f t="shared" si="6"/>
        <v>0.22965336450000001</v>
      </c>
      <c r="F10" s="85"/>
      <c r="H10" s="18" t="s">
        <v>76</v>
      </c>
      <c r="I10" s="67">
        <v>0.35299999999999998</v>
      </c>
      <c r="J10" s="30">
        <f t="shared" si="7"/>
        <v>2.4710000000000001E-3</v>
      </c>
      <c r="K10" s="31">
        <f t="shared" si="0"/>
        <v>1.8532500000000001</v>
      </c>
      <c r="L10" s="31">
        <f t="shared" si="8"/>
        <v>8.1172350000000009</v>
      </c>
      <c r="M10" s="22" t="str">
        <f>IF($E$9=L10,"Match","")</f>
        <v/>
      </c>
      <c r="N10" s="67">
        <v>0.55700000000000005</v>
      </c>
      <c r="O10" s="30">
        <f t="shared" si="1"/>
        <v>3.8990000000000006E-3</v>
      </c>
      <c r="P10" s="31">
        <f t="shared" si="10"/>
        <v>2.9242500000000002</v>
      </c>
      <c r="Q10" s="31">
        <f t="shared" si="2"/>
        <v>12.808215000000001</v>
      </c>
      <c r="R10" s="22" t="str">
        <f>IF($E$9=Q10,"Match","")</f>
        <v/>
      </c>
      <c r="S10" s="67">
        <v>3.51</v>
      </c>
      <c r="T10" s="30">
        <f t="shared" si="3"/>
        <v>2.4570000000000002E-2</v>
      </c>
      <c r="U10" s="31">
        <f t="shared" si="4"/>
        <v>18.427500000000002</v>
      </c>
      <c r="V10" s="31">
        <f t="shared" si="5"/>
        <v>80.712450000000018</v>
      </c>
      <c r="W10" s="22" t="str">
        <f>IF($E$9=V10,"Match","")</f>
        <v/>
      </c>
    </row>
    <row r="11" spans="1:23" ht="15.75" x14ac:dyDescent="0.3">
      <c r="A11" s="5" t="s">
        <v>6</v>
      </c>
      <c r="B11" s="72"/>
      <c r="C11" s="44">
        <f>IF(B11="",IF($B$5="2-Stroke Lean-Burn",I20,IF($B$5="4-Stroke Lean-Burn",N20,S20)),"")</f>
        <v>9.9871000000000005E-3</v>
      </c>
      <c r="D11" s="37">
        <f>IF(B11="",C11*$B$3*($I$1/1000000),B11*$B$3/453.6)</f>
        <v>5.2432275E-2</v>
      </c>
      <c r="E11" s="37">
        <f t="shared" si="6"/>
        <v>0.22965336450000001</v>
      </c>
      <c r="F11" s="85"/>
      <c r="H11" s="18" t="s">
        <v>64</v>
      </c>
      <c r="I11" s="67">
        <v>110</v>
      </c>
      <c r="J11" s="30">
        <f t="shared" si="7"/>
        <v>0.77</v>
      </c>
      <c r="K11" s="31">
        <f t="shared" si="0"/>
        <v>577.5</v>
      </c>
      <c r="L11" s="31">
        <f t="shared" si="8"/>
        <v>2529.4499999999998</v>
      </c>
      <c r="M11" s="22" t="str">
        <f>IF($E$17=L11,"Match","")</f>
        <v>Match</v>
      </c>
      <c r="N11" s="67">
        <v>110</v>
      </c>
      <c r="O11" s="30">
        <f t="shared" si="1"/>
        <v>0.77</v>
      </c>
      <c r="P11" s="31">
        <f t="shared" si="10"/>
        <v>577.5</v>
      </c>
      <c r="Q11" s="31">
        <f t="shared" si="2"/>
        <v>2529.4499999999998</v>
      </c>
      <c r="R11" s="22" t="str">
        <f>IF($E$17=Q11,"Match","")</f>
        <v>Match</v>
      </c>
      <c r="S11" s="67">
        <v>110</v>
      </c>
      <c r="T11" s="30">
        <f t="shared" si="3"/>
        <v>0.77</v>
      </c>
      <c r="U11" s="31">
        <f t="shared" si="4"/>
        <v>577.5</v>
      </c>
      <c r="V11" s="31">
        <f t="shared" si="5"/>
        <v>2529.4499999999998</v>
      </c>
      <c r="W11" s="22" t="str">
        <f>IF($E$17=V11,"Match","")</f>
        <v>Match</v>
      </c>
    </row>
    <row r="12" spans="1:23" ht="15" customHeight="1" x14ac:dyDescent="0.2">
      <c r="A12" s="7" t="s">
        <v>8</v>
      </c>
      <c r="B12" s="72"/>
      <c r="C12" s="45">
        <f>IF(B12="",IF($B$5="2-Stroke Lean-Burn",I15,IF($B$5="4-Stroke Lean-Burn",N15,S15)),"")</f>
        <v>0.11799999999999999</v>
      </c>
      <c r="D12" s="38">
        <f>IF(B12="",C12*$B$3*($I$1/1000000),B12*$B$3/453.6)</f>
        <v>0.61950000000000005</v>
      </c>
      <c r="E12" s="38">
        <f t="shared" si="6"/>
        <v>2.7134100000000001</v>
      </c>
      <c r="F12" s="85"/>
      <c r="H12" s="18" t="s">
        <v>65</v>
      </c>
      <c r="I12" s="67">
        <v>5.8799999999999998E-4</v>
      </c>
      <c r="J12" s="30">
        <f t="shared" si="7"/>
        <v>4.1160000000000001E-6</v>
      </c>
      <c r="K12" s="31">
        <f t="shared" si="0"/>
        <v>3.0869999999999999E-3</v>
      </c>
      <c r="L12" s="31">
        <f t="shared" si="8"/>
        <v>1.352106E-2</v>
      </c>
      <c r="M12" s="22" t="str">
        <f>IF($E$13=L12,"Match","")</f>
        <v>Match</v>
      </c>
      <c r="N12" s="67">
        <v>5.8799999999999998E-4</v>
      </c>
      <c r="O12" s="30">
        <f t="shared" si="1"/>
        <v>4.1160000000000001E-6</v>
      </c>
      <c r="P12" s="31">
        <f t="shared" si="10"/>
        <v>3.0869999999999999E-3</v>
      </c>
      <c r="Q12" s="31">
        <f t="shared" si="2"/>
        <v>1.352106E-2</v>
      </c>
      <c r="R12" s="22" t="str">
        <f>IF($E$13=Q12,"Match","")</f>
        <v>Match</v>
      </c>
      <c r="S12" s="67">
        <v>5.8799999999999998E-4</v>
      </c>
      <c r="T12" s="30">
        <f t="shared" si="3"/>
        <v>4.1160000000000001E-6</v>
      </c>
      <c r="U12" s="31">
        <f t="shared" si="4"/>
        <v>3.0869999999999999E-3</v>
      </c>
      <c r="V12" s="31">
        <f t="shared" si="5"/>
        <v>1.352106E-2</v>
      </c>
      <c r="W12" s="22" t="str">
        <f>IF($E$13=V12,"Match","")</f>
        <v>Match</v>
      </c>
    </row>
    <row r="13" spans="1:23" ht="15.75" x14ac:dyDescent="0.3">
      <c r="A13" s="5" t="s">
        <v>7</v>
      </c>
      <c r="B13" s="37"/>
      <c r="C13" s="44">
        <f>IF($B$5="2-Stroke Lean-Burn",I12,IF($B$5="4-Stroke Lean-Burn",N12,S12))</f>
        <v>5.8799999999999998E-4</v>
      </c>
      <c r="D13" s="37">
        <f>C13*$B$3*$I$1/1000000</f>
        <v>3.0869999999999999E-3</v>
      </c>
      <c r="E13" s="37">
        <f t="shared" si="6"/>
        <v>1.352106E-2</v>
      </c>
      <c r="F13" s="86"/>
      <c r="H13" s="18" t="s">
        <v>67</v>
      </c>
      <c r="I13" s="67">
        <v>1.64</v>
      </c>
      <c r="J13" s="30">
        <f t="shared" si="7"/>
        <v>1.1480000000000001E-2</v>
      </c>
      <c r="K13" s="31">
        <f t="shared" si="0"/>
        <v>8.6100000000000012</v>
      </c>
      <c r="L13" s="31">
        <f t="shared" si="8"/>
        <v>37.711800000000004</v>
      </c>
      <c r="M13" s="22"/>
      <c r="N13" s="67">
        <v>1.47</v>
      </c>
      <c r="O13" s="30">
        <f t="shared" si="1"/>
        <v>1.0290000000000001E-2</v>
      </c>
      <c r="P13" s="31">
        <f t="shared" si="10"/>
        <v>7.7175000000000002</v>
      </c>
      <c r="Q13" s="31">
        <f t="shared" si="2"/>
        <v>33.80265</v>
      </c>
      <c r="R13" s="22"/>
      <c r="S13" s="67">
        <v>0.35799999999999998</v>
      </c>
      <c r="T13" s="30">
        <f t="shared" si="3"/>
        <v>2.506E-3</v>
      </c>
      <c r="U13" s="31">
        <f t="shared" si="4"/>
        <v>1.8794999999999999</v>
      </c>
      <c r="V13" s="31">
        <f t="shared" si="5"/>
        <v>8.2322099999999985</v>
      </c>
      <c r="W13" s="22"/>
    </row>
    <row r="14" spans="1:23" ht="13.5" thickBot="1" x14ac:dyDescent="0.25">
      <c r="A14" s="17" t="s">
        <v>34</v>
      </c>
      <c r="B14" s="50"/>
      <c r="C14" s="50"/>
      <c r="D14" s="51">
        <f>SUM(D22:D64)</f>
        <v>0.37902526200000003</v>
      </c>
      <c r="E14" s="51">
        <f t="shared" si="6"/>
        <v>1.6601306475600002</v>
      </c>
      <c r="F14" s="8" t="s">
        <v>36</v>
      </c>
      <c r="H14" s="18" t="s">
        <v>66</v>
      </c>
      <c r="I14" s="67">
        <v>1.45</v>
      </c>
      <c r="J14" s="30">
        <f t="shared" si="7"/>
        <v>1.0149999999999999E-2</v>
      </c>
      <c r="K14" s="31">
        <f t="shared" si="0"/>
        <v>7.6124999999999998</v>
      </c>
      <c r="L14" s="31">
        <f t="shared" si="8"/>
        <v>33.342750000000002</v>
      </c>
      <c r="M14" s="22" t="str">
        <f>IF($E$18=L14,"Match","")</f>
        <v/>
      </c>
      <c r="N14" s="67">
        <v>1.25</v>
      </c>
      <c r="O14" s="30">
        <f t="shared" si="1"/>
        <v>8.7500000000000008E-3</v>
      </c>
      <c r="P14" s="31">
        <f t="shared" si="10"/>
        <v>6.5625000000000009</v>
      </c>
      <c r="Q14" s="31">
        <f t="shared" si="2"/>
        <v>28.743750000000002</v>
      </c>
      <c r="R14" s="22" t="str">
        <f>IF($E$18=Q14,"Match","")</f>
        <v>Match</v>
      </c>
      <c r="S14" s="67">
        <v>0.23</v>
      </c>
      <c r="T14" s="30">
        <f t="shared" si="3"/>
        <v>1.6100000000000001E-3</v>
      </c>
      <c r="U14" s="31">
        <f t="shared" si="4"/>
        <v>1.2075</v>
      </c>
      <c r="V14" s="31">
        <f t="shared" si="5"/>
        <v>5.2888500000000001</v>
      </c>
      <c r="W14" s="22" t="str">
        <f>IF($E$18=V14,"Match","")</f>
        <v/>
      </c>
    </row>
    <row r="15" spans="1:23" ht="13.5" thickBot="1" x14ac:dyDescent="0.25">
      <c r="A15" s="2"/>
      <c r="B15" s="2"/>
      <c r="C15" s="21"/>
      <c r="D15" s="39"/>
      <c r="E15" s="39"/>
      <c r="F15" s="32"/>
      <c r="H15" s="18" t="s">
        <v>8</v>
      </c>
      <c r="I15" s="67">
        <v>0.12</v>
      </c>
      <c r="J15" s="30">
        <f t="shared" si="7"/>
        <v>8.4000000000000003E-4</v>
      </c>
      <c r="K15" s="31">
        <f t="shared" si="0"/>
        <v>0.63</v>
      </c>
      <c r="L15" s="31">
        <f t="shared" si="8"/>
        <v>2.7594000000000003</v>
      </c>
      <c r="M15" s="22" t="str">
        <f>IF($E$12=L15,"Match","")</f>
        <v/>
      </c>
      <c r="N15" s="67">
        <v>0.11799999999999999</v>
      </c>
      <c r="O15" s="30">
        <f t="shared" si="1"/>
        <v>8.2600000000000002E-4</v>
      </c>
      <c r="P15" s="31">
        <f t="shared" si="10"/>
        <v>0.61950000000000005</v>
      </c>
      <c r="Q15" s="31">
        <f t="shared" si="2"/>
        <v>2.7134100000000001</v>
      </c>
      <c r="R15" s="22" t="str">
        <f>IF($E$12=Q15,"Match","")</f>
        <v>Match</v>
      </c>
      <c r="S15" s="67">
        <v>2.9600000000000001E-2</v>
      </c>
      <c r="T15" s="30">
        <f t="shared" si="3"/>
        <v>2.0720000000000002E-4</v>
      </c>
      <c r="U15" s="31">
        <f t="shared" si="4"/>
        <v>0.15540000000000001</v>
      </c>
      <c r="V15" s="31">
        <f t="shared" si="5"/>
        <v>0.68065200000000003</v>
      </c>
      <c r="W15" s="22" t="str">
        <f>IF($E$12=V15,"Match","")</f>
        <v/>
      </c>
    </row>
    <row r="16" spans="1:23" ht="42.75" customHeight="1" thickBot="1" x14ac:dyDescent="0.25">
      <c r="A16" s="12" t="s">
        <v>33</v>
      </c>
      <c r="B16" s="13" t="s">
        <v>29</v>
      </c>
      <c r="C16" s="13" t="s">
        <v>37</v>
      </c>
      <c r="D16" s="13" t="s">
        <v>31</v>
      </c>
      <c r="E16" s="13" t="s">
        <v>32</v>
      </c>
      <c r="F16" s="14" t="s">
        <v>28</v>
      </c>
      <c r="H16" s="18" t="s">
        <v>78</v>
      </c>
      <c r="I16" s="67">
        <v>3.8399999999999997E-2</v>
      </c>
      <c r="J16" s="30">
        <f t="shared" si="7"/>
        <v>2.6879999999999997E-4</v>
      </c>
      <c r="K16" s="31">
        <f t="shared" si="0"/>
        <v>0.20159999999999997</v>
      </c>
      <c r="L16" s="31">
        <f t="shared" si="8"/>
        <v>0.8830079999999999</v>
      </c>
      <c r="M16" s="22"/>
      <c r="N16" s="67">
        <v>7.7100000000000004E-5</v>
      </c>
      <c r="O16" s="30">
        <f t="shared" si="1"/>
        <v>5.397000000000001E-7</v>
      </c>
      <c r="P16" s="31">
        <f t="shared" si="10"/>
        <v>4.0477500000000007E-4</v>
      </c>
      <c r="Q16" s="31">
        <f t="shared" si="2"/>
        <v>1.7729145000000004E-3</v>
      </c>
      <c r="R16" s="22"/>
      <c r="S16" s="67">
        <v>9.4999999999999998E-3</v>
      </c>
      <c r="T16" s="30">
        <f t="shared" si="3"/>
        <v>6.6500000000000004E-5</v>
      </c>
      <c r="U16" s="31">
        <f t="shared" si="4"/>
        <v>4.9875000000000003E-2</v>
      </c>
      <c r="V16" s="31">
        <f t="shared" si="5"/>
        <v>0.21845250000000002</v>
      </c>
      <c r="W16" s="22"/>
    </row>
    <row r="17" spans="1:23" ht="15.75" x14ac:dyDescent="0.3">
      <c r="A17" s="4" t="s">
        <v>93</v>
      </c>
      <c r="B17" s="40">
        <v>1</v>
      </c>
      <c r="C17" s="43">
        <f>IF($B$5="2-Stroke Lean-Burn",I11,IF($B$5="4-Stroke Lean-Burn",N11,S11))</f>
        <v>110</v>
      </c>
      <c r="D17" s="41">
        <f>C17*$B$3*$I$1/1000000</f>
        <v>577.5</v>
      </c>
      <c r="E17" s="41">
        <f>D17*$B$4/2000</f>
        <v>2529.4499999999998</v>
      </c>
      <c r="F17" s="79" t="s">
        <v>46</v>
      </c>
      <c r="H17" s="18" t="s">
        <v>77</v>
      </c>
      <c r="I17" s="67">
        <v>3.8399999999999997E-2</v>
      </c>
      <c r="J17" s="30">
        <f t="shared" si="7"/>
        <v>2.6879999999999997E-4</v>
      </c>
      <c r="K17" s="31">
        <f t="shared" si="0"/>
        <v>0.20159999999999997</v>
      </c>
      <c r="L17" s="31">
        <f t="shared" si="8"/>
        <v>0.8830079999999999</v>
      </c>
      <c r="M17" s="22"/>
      <c r="N17" s="67">
        <v>7.7100000000000004E-5</v>
      </c>
      <c r="O17" s="30">
        <f t="shared" si="1"/>
        <v>5.397000000000001E-7</v>
      </c>
      <c r="P17" s="31">
        <f t="shared" si="10"/>
        <v>4.0477500000000007E-4</v>
      </c>
      <c r="Q17" s="31">
        <f t="shared" si="2"/>
        <v>1.7729145000000004E-3</v>
      </c>
      <c r="R17" s="22"/>
      <c r="S17" s="67">
        <v>9.4999999999999998E-3</v>
      </c>
      <c r="T17" s="30">
        <f t="shared" si="3"/>
        <v>6.6500000000000004E-5</v>
      </c>
      <c r="U17" s="31">
        <f t="shared" si="4"/>
        <v>4.9875000000000003E-2</v>
      </c>
      <c r="V17" s="31">
        <f t="shared" si="5"/>
        <v>0.21845250000000002</v>
      </c>
      <c r="W17" s="22"/>
    </row>
    <row r="18" spans="1:23" x14ac:dyDescent="0.2">
      <c r="A18" s="5" t="s">
        <v>30</v>
      </c>
      <c r="B18" s="42">
        <v>25</v>
      </c>
      <c r="C18" s="48">
        <f>IF($B$5="2-Stroke Lean-Burn",I14,IF($B$5="4-Stroke Lean-Burn",N14,S14))</f>
        <v>1.25</v>
      </c>
      <c r="D18" s="55">
        <f>C18*$B$3*$I$1/1000000</f>
        <v>6.5625</v>
      </c>
      <c r="E18" s="55">
        <f>D18*$B$4/2000</f>
        <v>28.743749999999999</v>
      </c>
      <c r="F18" s="80"/>
      <c r="H18" s="18" t="s">
        <v>79</v>
      </c>
      <c r="I18" s="67">
        <v>9.9100000000000004E-3</v>
      </c>
      <c r="J18" s="30">
        <f t="shared" si="7"/>
        <v>6.9370000000000008E-5</v>
      </c>
      <c r="K18" s="31">
        <f t="shared" si="0"/>
        <v>5.2027500000000004E-2</v>
      </c>
      <c r="L18" s="31">
        <f t="shared" si="8"/>
        <v>0.22788045000000001</v>
      </c>
      <c r="M18" s="22"/>
      <c r="N18" s="67">
        <v>9.9100000000000004E-3</v>
      </c>
      <c r="O18" s="30">
        <f>N18*$I$1/1000000</f>
        <v>6.9370000000000008E-5</v>
      </c>
      <c r="P18" s="31">
        <f t="shared" si="10"/>
        <v>5.2027500000000004E-2</v>
      </c>
      <c r="Q18" s="31">
        <f t="shared" si="2"/>
        <v>0.22788045000000001</v>
      </c>
      <c r="R18" s="22"/>
      <c r="S18" s="67">
        <v>9.9100000000000004E-3</v>
      </c>
      <c r="T18" s="30">
        <f t="shared" si="3"/>
        <v>6.9370000000000008E-5</v>
      </c>
      <c r="U18" s="31">
        <f t="shared" si="4"/>
        <v>5.2027500000000004E-2</v>
      </c>
      <c r="V18" s="31">
        <f t="shared" si="5"/>
        <v>0.22788045000000001</v>
      </c>
      <c r="W18" s="22"/>
    </row>
    <row r="19" spans="1:23" ht="16.5" thickBot="1" x14ac:dyDescent="0.35">
      <c r="A19" s="17" t="s">
        <v>94</v>
      </c>
      <c r="B19" s="53"/>
      <c r="C19" s="54"/>
      <c r="D19" s="52"/>
      <c r="E19" s="52">
        <f>(D17*B17+B18*D18)*$B$4/2000</f>
        <v>3248.0437499999998</v>
      </c>
      <c r="F19" s="81"/>
      <c r="H19" s="18" t="s">
        <v>80</v>
      </c>
      <c r="I19" s="67">
        <f>I16+I18</f>
        <v>4.8309999999999999E-2</v>
      </c>
      <c r="J19" s="3"/>
      <c r="K19" s="31">
        <f>K16+K18</f>
        <v>0.25362750000000001</v>
      </c>
      <c r="L19" s="31">
        <f>L16+L18</f>
        <v>1.11088845</v>
      </c>
      <c r="M19" s="22" t="str">
        <f>IF($E$10=L19,"Match","")</f>
        <v/>
      </c>
      <c r="N19" s="67">
        <f>N16+N18</f>
        <v>9.9871000000000005E-3</v>
      </c>
      <c r="O19" s="3"/>
      <c r="P19" s="31">
        <f t="shared" ref="P19:Q19" si="13">P16+P18</f>
        <v>5.2432275000000007E-2</v>
      </c>
      <c r="Q19" s="31">
        <f t="shared" si="13"/>
        <v>0.22965336450000001</v>
      </c>
      <c r="R19" s="22" t="str">
        <f>IF($E$10=Q19,"Match","")</f>
        <v>Match</v>
      </c>
      <c r="S19" s="67">
        <f>S16+S18</f>
        <v>1.941E-2</v>
      </c>
      <c r="T19" s="3"/>
      <c r="U19" s="31">
        <f t="shared" ref="U19:V19" si="14">U16+U18</f>
        <v>0.10190250000000001</v>
      </c>
      <c r="V19" s="31">
        <f t="shared" si="14"/>
        <v>0.44633295000000006</v>
      </c>
      <c r="W19" s="22" t="str">
        <f>IF($E$10=V19,"Match","")</f>
        <v/>
      </c>
    </row>
    <row r="20" spans="1:23" ht="13.5" thickBot="1" x14ac:dyDescent="0.25">
      <c r="A20" s="21"/>
      <c r="B20" s="21"/>
      <c r="C20" s="21"/>
      <c r="D20" s="21"/>
      <c r="E20" s="21"/>
      <c r="F20" s="32"/>
      <c r="H20" s="18" t="s">
        <v>81</v>
      </c>
      <c r="I20" s="67">
        <f>I17+I18</f>
        <v>4.8309999999999999E-2</v>
      </c>
      <c r="J20" s="3"/>
      <c r="K20" s="31">
        <f>K17+K18</f>
        <v>0.25362750000000001</v>
      </c>
      <c r="L20" s="31">
        <f>L17+L18</f>
        <v>1.11088845</v>
      </c>
      <c r="M20" s="22" t="str">
        <f>IF($E$11=L20,"Match","")</f>
        <v/>
      </c>
      <c r="N20" s="67">
        <f>N17+N18</f>
        <v>9.9871000000000005E-3</v>
      </c>
      <c r="O20" s="3"/>
      <c r="P20" s="31">
        <f t="shared" ref="P20:Q20" si="15">P17+P18</f>
        <v>5.2432275000000007E-2</v>
      </c>
      <c r="Q20" s="31">
        <f t="shared" si="15"/>
        <v>0.22965336450000001</v>
      </c>
      <c r="R20" s="22" t="str">
        <f>IF($E$11=Q20,"Match","")</f>
        <v>Match</v>
      </c>
      <c r="S20" s="67">
        <f>S17+S18</f>
        <v>1.941E-2</v>
      </c>
      <c r="T20" s="3"/>
      <c r="U20" s="31">
        <f t="shared" ref="U20:V20" si="16">U17+U18</f>
        <v>0.10190250000000001</v>
      </c>
      <c r="V20" s="31">
        <f t="shared" si="16"/>
        <v>0.44633295000000006</v>
      </c>
      <c r="W20" s="22" t="str">
        <f>IF($E$11=V20,"Match","")</f>
        <v/>
      </c>
    </row>
    <row r="21" spans="1:23" ht="42.75" customHeight="1" thickBot="1" x14ac:dyDescent="0.25">
      <c r="A21" s="12" t="s">
        <v>35</v>
      </c>
      <c r="B21" s="73" t="s">
        <v>37</v>
      </c>
      <c r="C21" s="74"/>
      <c r="D21" s="13" t="s">
        <v>31</v>
      </c>
      <c r="E21" s="13" t="s">
        <v>32</v>
      </c>
      <c r="F21" s="14" t="s">
        <v>28</v>
      </c>
      <c r="H21" s="19" t="s">
        <v>34</v>
      </c>
      <c r="I21" s="26" t="s">
        <v>61</v>
      </c>
      <c r="J21" s="19" t="s">
        <v>70</v>
      </c>
      <c r="K21" s="20" t="s">
        <v>62</v>
      </c>
      <c r="L21" s="20" t="s">
        <v>63</v>
      </c>
      <c r="M21" s="23" t="s">
        <v>69</v>
      </c>
      <c r="N21" s="26" t="s">
        <v>61</v>
      </c>
      <c r="O21" s="19" t="s">
        <v>70</v>
      </c>
      <c r="P21" s="20" t="s">
        <v>62</v>
      </c>
      <c r="Q21" s="20" t="s">
        <v>63</v>
      </c>
      <c r="R21" s="23" t="s">
        <v>69</v>
      </c>
      <c r="S21" s="26" t="s">
        <v>61</v>
      </c>
      <c r="T21" s="19" t="s">
        <v>70</v>
      </c>
      <c r="U21" s="20" t="s">
        <v>62</v>
      </c>
      <c r="V21" s="20" t="s">
        <v>63</v>
      </c>
      <c r="W21" s="23" t="s">
        <v>69</v>
      </c>
    </row>
    <row r="22" spans="1:23" ht="12.75" customHeight="1" x14ac:dyDescent="0.2">
      <c r="A22" s="56" t="s">
        <v>47</v>
      </c>
      <c r="B22" s="58"/>
      <c r="C22" s="59">
        <f t="shared" ref="C22:C64" si="17">IF($B$5="2-Stroke Lean-Burn",I22,IF($B$5="4-Stroke Lean-Burn",N22,S22))</f>
        <v>4.0000000000000003E-5</v>
      </c>
      <c r="D22" s="57">
        <f t="shared" ref="D22:D64" si="18">IFERROR(C22*$B$3*$I$1/1000000,"")</f>
        <v>2.1000000000000004E-4</v>
      </c>
      <c r="E22" s="57">
        <f t="shared" ref="E22:E64" si="19">IFERROR(D22*$B$4/2000,"")</f>
        <v>9.1980000000000013E-4</v>
      </c>
      <c r="F22" s="82" t="s">
        <v>95</v>
      </c>
      <c r="H22" s="1" t="s">
        <v>47</v>
      </c>
      <c r="I22" s="67">
        <v>6.6299999999999999E-5</v>
      </c>
      <c r="J22" s="30">
        <f t="shared" ref="J22:J64" si="20">I22*$I$1/1000000</f>
        <v>4.6410000000000003E-7</v>
      </c>
      <c r="K22" s="30">
        <f t="shared" ref="K22:K64" si="21">J22*$B$3</f>
        <v>3.4807500000000004E-4</v>
      </c>
      <c r="L22" s="30">
        <f t="shared" ref="L22:L64" si="22">K22*$B$4/2000</f>
        <v>1.5245685000000002E-3</v>
      </c>
      <c r="M22" s="22" t="str">
        <f>IF($E22=L22,"Match","")</f>
        <v/>
      </c>
      <c r="N22" s="67">
        <v>4.0000000000000003E-5</v>
      </c>
      <c r="O22" s="30">
        <f t="shared" ref="O22:O64" si="23">N22*$I$1/1000000</f>
        <v>2.8000000000000002E-7</v>
      </c>
      <c r="P22" s="30">
        <f t="shared" ref="P22:P31" si="24">O22*$B$3</f>
        <v>2.1000000000000001E-4</v>
      </c>
      <c r="Q22" s="30">
        <f t="shared" ref="Q22:Q64" si="25">P22*$B$4/2000</f>
        <v>9.1980000000000002E-4</v>
      </c>
      <c r="R22" s="22" t="str">
        <f>IF($E22=Q22,"Match","")</f>
        <v>Match</v>
      </c>
      <c r="S22" s="67">
        <v>2.5299999999999998E-5</v>
      </c>
      <c r="T22" s="30">
        <f t="shared" ref="T22:T25" si="26">S22*$I$1/1000000</f>
        <v>1.7709999999999999E-7</v>
      </c>
      <c r="U22" s="30">
        <f t="shared" ref="U22:U25" si="27">T22*$B$3</f>
        <v>1.3282499999999999E-4</v>
      </c>
      <c r="V22" s="30">
        <f t="shared" ref="V22:V64" si="28">U22*$B$4/2000</f>
        <v>5.817734999999999E-4</v>
      </c>
      <c r="W22" s="22" t="str">
        <f>IF($E22=V22,"Match","")</f>
        <v/>
      </c>
    </row>
    <row r="23" spans="1:23" x14ac:dyDescent="0.2">
      <c r="A23" s="16" t="s">
        <v>48</v>
      </c>
      <c r="B23" s="60"/>
      <c r="C23" s="61">
        <f t="shared" si="17"/>
        <v>3.18E-5</v>
      </c>
      <c r="D23" s="44">
        <f t="shared" si="18"/>
        <v>1.6694999999999999E-4</v>
      </c>
      <c r="E23" s="44">
        <f t="shared" si="19"/>
        <v>7.3124099999999988E-4</v>
      </c>
      <c r="F23" s="83"/>
      <c r="H23" s="1" t="s">
        <v>48</v>
      </c>
      <c r="I23" s="67">
        <v>5.27E-5</v>
      </c>
      <c r="J23" s="30">
        <f t="shared" si="20"/>
        <v>3.6890000000000003E-7</v>
      </c>
      <c r="K23" s="30">
        <f t="shared" si="21"/>
        <v>2.7667500000000004E-4</v>
      </c>
      <c r="L23" s="30">
        <f t="shared" si="22"/>
        <v>1.2118365000000002E-3</v>
      </c>
      <c r="M23" s="22" t="str">
        <f t="shared" ref="M23:M64" si="29">IF($E23=L23,"Match","")</f>
        <v/>
      </c>
      <c r="N23" s="67">
        <v>3.18E-5</v>
      </c>
      <c r="O23" s="30">
        <f t="shared" si="23"/>
        <v>2.2259999999999999E-7</v>
      </c>
      <c r="P23" s="30">
        <f t="shared" si="24"/>
        <v>1.6694999999999999E-4</v>
      </c>
      <c r="Q23" s="30">
        <f t="shared" si="25"/>
        <v>7.3124099999999988E-4</v>
      </c>
      <c r="R23" s="22" t="str">
        <f t="shared" ref="R23:R64" si="30">IF($E23=Q23,"Match","")</f>
        <v>Match</v>
      </c>
      <c r="S23" s="67">
        <v>1.5299999999999999E-5</v>
      </c>
      <c r="T23" s="30">
        <f t="shared" si="26"/>
        <v>1.071E-7</v>
      </c>
      <c r="U23" s="30">
        <f t="shared" si="27"/>
        <v>8.0325000000000001E-5</v>
      </c>
      <c r="V23" s="30">
        <f t="shared" si="28"/>
        <v>3.5182350000000003E-4</v>
      </c>
      <c r="W23" s="22" t="str">
        <f t="shared" ref="W23:W64" si="31">IF($E23=V23,"Match","")</f>
        <v/>
      </c>
    </row>
    <row r="24" spans="1:23" x14ac:dyDescent="0.2">
      <c r="A24" s="15" t="s">
        <v>42</v>
      </c>
      <c r="B24" s="62"/>
      <c r="C24" s="63">
        <f t="shared" si="17"/>
        <v>2.6699999999999998E-4</v>
      </c>
      <c r="D24" s="45">
        <f t="shared" si="18"/>
        <v>1.4017499999999998E-3</v>
      </c>
      <c r="E24" s="45">
        <f t="shared" si="19"/>
        <v>6.139664999999999E-3</v>
      </c>
      <c r="F24" s="83"/>
      <c r="H24" s="1" t="s">
        <v>42</v>
      </c>
      <c r="I24" s="67">
        <v>8.1999999999999998E-4</v>
      </c>
      <c r="J24" s="30">
        <f t="shared" si="20"/>
        <v>5.7400000000000001E-6</v>
      </c>
      <c r="K24" s="30">
        <f t="shared" si="21"/>
        <v>4.3049999999999998E-3</v>
      </c>
      <c r="L24" s="30">
        <f t="shared" si="22"/>
        <v>1.8855899999999998E-2</v>
      </c>
      <c r="M24" s="22" t="str">
        <f t="shared" si="29"/>
        <v/>
      </c>
      <c r="N24" s="67">
        <v>2.6699999999999998E-4</v>
      </c>
      <c r="O24" s="30">
        <f t="shared" si="23"/>
        <v>1.869E-6</v>
      </c>
      <c r="P24" s="30">
        <f t="shared" si="24"/>
        <v>1.40175E-3</v>
      </c>
      <c r="Q24" s="30">
        <f t="shared" si="25"/>
        <v>6.1396649999999999E-3</v>
      </c>
      <c r="R24" s="22" t="str">
        <f t="shared" si="30"/>
        <v>Match</v>
      </c>
      <c r="S24" s="67">
        <v>6.6299999999999996E-4</v>
      </c>
      <c r="T24" s="30">
        <f t="shared" si="26"/>
        <v>4.6410000000000001E-6</v>
      </c>
      <c r="U24" s="30">
        <f t="shared" si="27"/>
        <v>3.4807499999999999E-3</v>
      </c>
      <c r="V24" s="30">
        <f t="shared" si="28"/>
        <v>1.5245685E-2</v>
      </c>
      <c r="W24" s="22" t="str">
        <f t="shared" si="31"/>
        <v/>
      </c>
    </row>
    <row r="25" spans="1:23" x14ac:dyDescent="0.2">
      <c r="A25" s="16" t="s">
        <v>49</v>
      </c>
      <c r="B25" s="60"/>
      <c r="C25" s="61">
        <f t="shared" si="17"/>
        <v>2.6400000000000001E-5</v>
      </c>
      <c r="D25" s="44">
        <f t="shared" si="18"/>
        <v>1.3860000000000004E-4</v>
      </c>
      <c r="E25" s="44">
        <f t="shared" si="19"/>
        <v>6.0706800000000021E-4</v>
      </c>
      <c r="F25" s="83"/>
      <c r="H25" s="1" t="s">
        <v>49</v>
      </c>
      <c r="I25" s="67">
        <v>4.3800000000000001E-5</v>
      </c>
      <c r="J25" s="30">
        <f t="shared" si="20"/>
        <v>3.0660000000000001E-7</v>
      </c>
      <c r="K25" s="30">
        <f t="shared" si="21"/>
        <v>2.2995000000000001E-4</v>
      </c>
      <c r="L25" s="30">
        <f t="shared" si="22"/>
        <v>1.007181E-3</v>
      </c>
      <c r="M25" s="22" t="str">
        <f t="shared" si="29"/>
        <v/>
      </c>
      <c r="N25" s="67">
        <v>2.6400000000000001E-5</v>
      </c>
      <c r="O25" s="30">
        <f t="shared" si="23"/>
        <v>1.8480000000000001E-7</v>
      </c>
      <c r="P25" s="30">
        <f t="shared" si="24"/>
        <v>1.3860000000000001E-4</v>
      </c>
      <c r="Q25" s="30">
        <f t="shared" si="25"/>
        <v>6.070680000000001E-4</v>
      </c>
      <c r="R25" s="22" t="str">
        <f t="shared" si="30"/>
        <v>Match</v>
      </c>
      <c r="S25" s="67">
        <v>1.27E-5</v>
      </c>
      <c r="T25" s="30">
        <f t="shared" si="26"/>
        <v>8.8900000000000009E-8</v>
      </c>
      <c r="U25" s="30">
        <f t="shared" si="27"/>
        <v>6.6675000000000008E-5</v>
      </c>
      <c r="V25" s="30">
        <f t="shared" si="28"/>
        <v>2.9203650000000003E-4</v>
      </c>
      <c r="W25" s="22" t="str">
        <f t="shared" si="31"/>
        <v/>
      </c>
    </row>
    <row r="26" spans="1:23" x14ac:dyDescent="0.2">
      <c r="A26" s="15" t="str">
        <f>IF($B$5="4-Stroke Rich-Burn","","2,2,4-Trimethylpentane")</f>
        <v>2,2,4-Trimethylpentane</v>
      </c>
      <c r="B26" s="62"/>
      <c r="C26" s="63">
        <f t="shared" si="17"/>
        <v>2.5000000000000001E-4</v>
      </c>
      <c r="D26" s="45">
        <f t="shared" si="18"/>
        <v>1.3125000000000001E-3</v>
      </c>
      <c r="E26" s="45">
        <f t="shared" si="19"/>
        <v>5.7487500000000004E-3</v>
      </c>
      <c r="F26" s="83"/>
      <c r="H26" s="1" t="s">
        <v>83</v>
      </c>
      <c r="I26" s="67">
        <v>8.4599999999999996E-4</v>
      </c>
      <c r="J26" s="30">
        <f t="shared" si="20"/>
        <v>5.9219999999999994E-6</v>
      </c>
      <c r="K26" s="30">
        <f t="shared" si="21"/>
        <v>4.4414999999999993E-3</v>
      </c>
      <c r="L26" s="30">
        <f t="shared" si="22"/>
        <v>1.9453769999999995E-2</v>
      </c>
      <c r="M26" s="22" t="str">
        <f t="shared" si="29"/>
        <v/>
      </c>
      <c r="N26" s="67">
        <v>2.5000000000000001E-4</v>
      </c>
      <c r="O26" s="30">
        <f t="shared" si="23"/>
        <v>1.75E-6</v>
      </c>
      <c r="P26" s="30">
        <f t="shared" si="24"/>
        <v>1.3125000000000001E-3</v>
      </c>
      <c r="Q26" s="30">
        <f t="shared" si="25"/>
        <v>5.7487500000000004E-3</v>
      </c>
      <c r="R26" s="22" t="str">
        <f t="shared" si="30"/>
        <v>Match</v>
      </c>
      <c r="S26" s="29" t="s">
        <v>72</v>
      </c>
      <c r="T26" s="3"/>
      <c r="U26" s="30"/>
      <c r="V26" s="30"/>
      <c r="W26" s="22" t="str">
        <f t="shared" si="31"/>
        <v/>
      </c>
    </row>
    <row r="27" spans="1:23" x14ac:dyDescent="0.2">
      <c r="A27" s="16" t="str">
        <f>IF($B$5="4-Stroke Rich-Burn","","2-Methylnaphthalene")</f>
        <v>2-Methylnaphthalene</v>
      </c>
      <c r="B27" s="60"/>
      <c r="C27" s="61">
        <f t="shared" si="17"/>
        <v>3.3200000000000001E-5</v>
      </c>
      <c r="D27" s="44">
        <f t="shared" si="18"/>
        <v>1.7430000000000001E-4</v>
      </c>
      <c r="E27" s="44">
        <f t="shared" si="19"/>
        <v>7.6343400000000001E-4</v>
      </c>
      <c r="F27" s="83"/>
      <c r="H27" s="1" t="s">
        <v>9</v>
      </c>
      <c r="I27" s="67">
        <v>2.1399999999999998E-5</v>
      </c>
      <c r="J27" s="30">
        <f t="shared" si="20"/>
        <v>1.4979999999999998E-7</v>
      </c>
      <c r="K27" s="30">
        <f t="shared" si="21"/>
        <v>1.1234999999999998E-4</v>
      </c>
      <c r="L27" s="30">
        <f t="shared" si="22"/>
        <v>4.9209299999999987E-4</v>
      </c>
      <c r="M27" s="22" t="str">
        <f t="shared" si="29"/>
        <v/>
      </c>
      <c r="N27" s="67">
        <v>3.3200000000000001E-5</v>
      </c>
      <c r="O27" s="30">
        <f t="shared" si="23"/>
        <v>2.3239999999999999E-7</v>
      </c>
      <c r="P27" s="30">
        <f t="shared" si="24"/>
        <v>1.7429999999999998E-4</v>
      </c>
      <c r="Q27" s="30">
        <f t="shared" si="25"/>
        <v>7.634339999999999E-4</v>
      </c>
      <c r="R27" s="22" t="str">
        <f t="shared" si="30"/>
        <v>Match</v>
      </c>
      <c r="S27" s="29" t="s">
        <v>72</v>
      </c>
      <c r="T27" s="3"/>
      <c r="U27" s="30"/>
      <c r="V27" s="30"/>
      <c r="W27" s="22" t="str">
        <f t="shared" si="31"/>
        <v/>
      </c>
    </row>
    <row r="28" spans="1:23" x14ac:dyDescent="0.2">
      <c r="A28" s="15" t="str">
        <f>IF($B$5="4-Stroke Rich-Burn","","Acenaphthene")</f>
        <v>Acenaphthene</v>
      </c>
      <c r="B28" s="62"/>
      <c r="C28" s="63">
        <f t="shared" si="17"/>
        <v>1.2500000000000001E-6</v>
      </c>
      <c r="D28" s="45">
        <f t="shared" si="18"/>
        <v>6.5625000000000011E-6</v>
      </c>
      <c r="E28" s="45">
        <f t="shared" si="19"/>
        <v>2.8743750000000004E-5</v>
      </c>
      <c r="F28" s="83"/>
      <c r="H28" s="1" t="s">
        <v>10</v>
      </c>
      <c r="I28" s="67">
        <v>1.33E-6</v>
      </c>
      <c r="J28" s="30">
        <f t="shared" si="20"/>
        <v>9.3100000000000003E-9</v>
      </c>
      <c r="K28" s="30">
        <f t="shared" si="21"/>
        <v>6.9825000000000005E-6</v>
      </c>
      <c r="L28" s="30">
        <f t="shared" si="22"/>
        <v>3.0583349999999999E-5</v>
      </c>
      <c r="M28" s="22" t="str">
        <f t="shared" si="29"/>
        <v/>
      </c>
      <c r="N28" s="67">
        <v>1.2500000000000001E-6</v>
      </c>
      <c r="O28" s="30">
        <f t="shared" si="23"/>
        <v>8.7500000000000006E-9</v>
      </c>
      <c r="P28" s="30">
        <f t="shared" si="24"/>
        <v>6.5625000000000003E-6</v>
      </c>
      <c r="Q28" s="30">
        <f t="shared" si="25"/>
        <v>2.8743750000000001E-5</v>
      </c>
      <c r="R28" s="22" t="str">
        <f t="shared" si="30"/>
        <v>Match</v>
      </c>
      <c r="S28" s="29" t="s">
        <v>72</v>
      </c>
      <c r="T28" s="3"/>
      <c r="U28" s="30"/>
      <c r="V28" s="30"/>
      <c r="W28" s="22" t="str">
        <f t="shared" si="31"/>
        <v/>
      </c>
    </row>
    <row r="29" spans="1:23" x14ac:dyDescent="0.2">
      <c r="A29" s="16" t="str">
        <f>IF($B$5="4-Stroke Rich-Burn","","Acenaphthylene")</f>
        <v>Acenaphthylene</v>
      </c>
      <c r="B29" s="60"/>
      <c r="C29" s="61">
        <f t="shared" si="17"/>
        <v>5.5300000000000004E-6</v>
      </c>
      <c r="D29" s="44">
        <f t="shared" si="18"/>
        <v>2.9032500000000004E-5</v>
      </c>
      <c r="E29" s="44">
        <f t="shared" si="19"/>
        <v>1.2716235000000001E-4</v>
      </c>
      <c r="F29" s="83"/>
      <c r="H29" s="1" t="s">
        <v>11</v>
      </c>
      <c r="I29" s="67">
        <v>3.1700000000000001E-6</v>
      </c>
      <c r="J29" s="30">
        <f t="shared" si="20"/>
        <v>2.2190000000000002E-8</v>
      </c>
      <c r="K29" s="30">
        <f t="shared" si="21"/>
        <v>1.6642500000000002E-5</v>
      </c>
      <c r="L29" s="30">
        <f t="shared" si="22"/>
        <v>7.2894150000000007E-5</v>
      </c>
      <c r="M29" s="22" t="str">
        <f t="shared" si="29"/>
        <v/>
      </c>
      <c r="N29" s="67">
        <v>5.5300000000000004E-6</v>
      </c>
      <c r="O29" s="30">
        <f t="shared" si="23"/>
        <v>3.8710000000000001E-8</v>
      </c>
      <c r="P29" s="30">
        <f t="shared" si="24"/>
        <v>2.90325E-5</v>
      </c>
      <c r="Q29" s="30">
        <f t="shared" si="25"/>
        <v>1.2716235000000001E-4</v>
      </c>
      <c r="R29" s="22" t="str">
        <f t="shared" si="30"/>
        <v>Match</v>
      </c>
      <c r="S29" s="29" t="s">
        <v>72</v>
      </c>
      <c r="T29" s="3"/>
      <c r="U29" s="30"/>
      <c r="V29" s="30"/>
      <c r="W29" s="22" t="str">
        <f t="shared" si="31"/>
        <v/>
      </c>
    </row>
    <row r="30" spans="1:23" x14ac:dyDescent="0.2">
      <c r="A30" s="15" t="s">
        <v>39</v>
      </c>
      <c r="B30" s="62"/>
      <c r="C30" s="63">
        <f t="shared" si="17"/>
        <v>8.3599999999999994E-3</v>
      </c>
      <c r="D30" s="45">
        <f t="shared" si="18"/>
        <v>4.3889999999999998E-2</v>
      </c>
      <c r="E30" s="45">
        <f t="shared" si="19"/>
        <v>0.1922382</v>
      </c>
      <c r="F30" s="83"/>
      <c r="H30" s="1" t="s">
        <v>39</v>
      </c>
      <c r="I30" s="67">
        <v>7.7600000000000004E-3</v>
      </c>
      <c r="J30" s="30">
        <f t="shared" si="20"/>
        <v>5.4320000000000002E-5</v>
      </c>
      <c r="K30" s="30">
        <f t="shared" si="21"/>
        <v>4.0739999999999998E-2</v>
      </c>
      <c r="L30" s="30">
        <f t="shared" si="22"/>
        <v>0.17844119999999999</v>
      </c>
      <c r="M30" s="22" t="str">
        <f t="shared" si="29"/>
        <v/>
      </c>
      <c r="N30" s="67">
        <v>8.3599999999999994E-3</v>
      </c>
      <c r="O30" s="30">
        <f t="shared" si="23"/>
        <v>5.8519999999999995E-5</v>
      </c>
      <c r="P30" s="30">
        <f t="shared" si="24"/>
        <v>4.3889999999999998E-2</v>
      </c>
      <c r="Q30" s="30">
        <f t="shared" si="25"/>
        <v>0.1922382</v>
      </c>
      <c r="R30" s="22" t="str">
        <f t="shared" si="30"/>
        <v>Match</v>
      </c>
      <c r="S30" s="67">
        <v>2.7899999999999999E-3</v>
      </c>
      <c r="T30" s="30">
        <f t="shared" ref="T30:T31" si="32">S30*$I$1/1000000</f>
        <v>1.9530000000000001E-5</v>
      </c>
      <c r="U30" s="30">
        <f t="shared" ref="U30:U31" si="33">T30*$B$3</f>
        <v>1.4647500000000001E-2</v>
      </c>
      <c r="V30" s="30">
        <f t="shared" si="28"/>
        <v>6.4156050000000006E-2</v>
      </c>
      <c r="W30" s="22" t="str">
        <f t="shared" si="31"/>
        <v/>
      </c>
    </row>
    <row r="31" spans="1:23" x14ac:dyDescent="0.2">
      <c r="A31" s="16" t="s">
        <v>40</v>
      </c>
      <c r="B31" s="60"/>
      <c r="C31" s="61">
        <f t="shared" si="17"/>
        <v>5.1399999999999996E-3</v>
      </c>
      <c r="D31" s="44">
        <f t="shared" si="18"/>
        <v>2.6984999999999995E-2</v>
      </c>
      <c r="E31" s="44">
        <f t="shared" si="19"/>
        <v>0.11819429999999999</v>
      </c>
      <c r="F31" s="83"/>
      <c r="H31" s="1" t="s">
        <v>40</v>
      </c>
      <c r="I31" s="67">
        <v>7.7799999999999996E-3</v>
      </c>
      <c r="J31" s="30">
        <f t="shared" si="20"/>
        <v>5.4459999999999997E-5</v>
      </c>
      <c r="K31" s="30">
        <f t="shared" si="21"/>
        <v>4.0844999999999999E-2</v>
      </c>
      <c r="L31" s="30">
        <f t="shared" si="22"/>
        <v>0.17890109999999998</v>
      </c>
      <c r="M31" s="22" t="str">
        <f t="shared" si="29"/>
        <v/>
      </c>
      <c r="N31" s="67">
        <v>5.1399999999999996E-3</v>
      </c>
      <c r="O31" s="30">
        <f t="shared" si="23"/>
        <v>3.5979999999999998E-5</v>
      </c>
      <c r="P31" s="30">
        <f t="shared" si="24"/>
        <v>2.6984999999999999E-2</v>
      </c>
      <c r="Q31" s="30">
        <f t="shared" si="25"/>
        <v>0.1181943</v>
      </c>
      <c r="R31" s="22" t="str">
        <f t="shared" si="30"/>
        <v>Match</v>
      </c>
      <c r="S31" s="67">
        <v>2.63E-3</v>
      </c>
      <c r="T31" s="30">
        <f t="shared" si="32"/>
        <v>1.8410000000000002E-5</v>
      </c>
      <c r="U31" s="30">
        <f t="shared" si="33"/>
        <v>1.3807500000000002E-2</v>
      </c>
      <c r="V31" s="30">
        <f t="shared" si="28"/>
        <v>6.0476850000000006E-2</v>
      </c>
      <c r="W31" s="22" t="str">
        <f t="shared" si="31"/>
        <v/>
      </c>
    </row>
    <row r="32" spans="1:23" x14ac:dyDescent="0.2">
      <c r="A32" s="15" t="str">
        <f>IF($B$5="2-Stroke Lean-Burn","Anthracene","")</f>
        <v/>
      </c>
      <c r="B32" s="62"/>
      <c r="C32" s="63" t="str">
        <f t="shared" si="17"/>
        <v/>
      </c>
      <c r="D32" s="45" t="str">
        <f t="shared" si="18"/>
        <v/>
      </c>
      <c r="E32" s="45" t="str">
        <f t="shared" si="19"/>
        <v/>
      </c>
      <c r="F32" s="83"/>
      <c r="H32" s="1" t="s">
        <v>12</v>
      </c>
      <c r="I32" s="67">
        <v>7.1800000000000005E-7</v>
      </c>
      <c r="J32" s="30">
        <f t="shared" si="20"/>
        <v>5.0259999999999998E-9</v>
      </c>
      <c r="K32" s="30">
        <f t="shared" si="21"/>
        <v>3.7694999999999997E-6</v>
      </c>
      <c r="L32" s="30">
        <f t="shared" si="22"/>
        <v>1.6510410000000001E-5</v>
      </c>
      <c r="M32" s="22" t="str">
        <f t="shared" si="29"/>
        <v/>
      </c>
      <c r="N32" s="29" t="s">
        <v>72</v>
      </c>
      <c r="O32" s="30"/>
      <c r="P32" s="30"/>
      <c r="Q32" s="30"/>
      <c r="R32" s="22" t="str">
        <f t="shared" si="30"/>
        <v>Match</v>
      </c>
      <c r="S32" s="29" t="s">
        <v>72</v>
      </c>
      <c r="T32" s="3"/>
      <c r="U32" s="30"/>
      <c r="V32" s="30"/>
      <c r="W32" s="22" t="str">
        <f t="shared" si="31"/>
        <v>Match</v>
      </c>
    </row>
    <row r="33" spans="1:23" x14ac:dyDescent="0.2">
      <c r="A33" s="16" t="str">
        <f>IF($B$5="2-Stroke Lean-Burn","Benz(a)anthracene","")</f>
        <v/>
      </c>
      <c r="B33" s="60"/>
      <c r="C33" s="61" t="str">
        <f t="shared" si="17"/>
        <v/>
      </c>
      <c r="D33" s="44" t="str">
        <f t="shared" si="18"/>
        <v/>
      </c>
      <c r="E33" s="44" t="str">
        <f t="shared" si="19"/>
        <v/>
      </c>
      <c r="F33" s="83"/>
      <c r="H33" s="1" t="s">
        <v>13</v>
      </c>
      <c r="I33" s="67">
        <v>3.3599999999999999E-7</v>
      </c>
      <c r="J33" s="30">
        <f t="shared" si="20"/>
        <v>2.3519999999999997E-9</v>
      </c>
      <c r="K33" s="30">
        <f t="shared" si="21"/>
        <v>1.7639999999999998E-6</v>
      </c>
      <c r="L33" s="30">
        <f t="shared" si="22"/>
        <v>7.7263199999999989E-6</v>
      </c>
      <c r="M33" s="22" t="str">
        <f t="shared" si="29"/>
        <v/>
      </c>
      <c r="N33" s="29" t="s">
        <v>72</v>
      </c>
      <c r="O33" s="30"/>
      <c r="P33" s="30"/>
      <c r="Q33" s="30"/>
      <c r="R33" s="22" t="str">
        <f t="shared" si="30"/>
        <v>Match</v>
      </c>
      <c r="S33" s="29" t="s">
        <v>72</v>
      </c>
      <c r="T33" s="3"/>
      <c r="U33" s="30"/>
      <c r="V33" s="30"/>
      <c r="W33" s="22" t="str">
        <f t="shared" si="31"/>
        <v>Match</v>
      </c>
    </row>
    <row r="34" spans="1:23" x14ac:dyDescent="0.2">
      <c r="A34" s="15" t="s">
        <v>14</v>
      </c>
      <c r="B34" s="62"/>
      <c r="C34" s="63">
        <f t="shared" si="17"/>
        <v>4.4000000000000002E-4</v>
      </c>
      <c r="D34" s="45">
        <f t="shared" si="18"/>
        <v>2.31E-3</v>
      </c>
      <c r="E34" s="45">
        <f t="shared" si="19"/>
        <v>1.0117800000000001E-2</v>
      </c>
      <c r="F34" s="83"/>
      <c r="H34" s="1" t="s">
        <v>14</v>
      </c>
      <c r="I34" s="67">
        <v>1.9400000000000001E-3</v>
      </c>
      <c r="J34" s="30">
        <f t="shared" si="20"/>
        <v>1.358E-5</v>
      </c>
      <c r="K34" s="30">
        <f t="shared" si="21"/>
        <v>1.0185E-2</v>
      </c>
      <c r="L34" s="30">
        <f t="shared" si="22"/>
        <v>4.4610299999999999E-2</v>
      </c>
      <c r="M34" s="22" t="str">
        <f t="shared" si="29"/>
        <v/>
      </c>
      <c r="N34" s="67">
        <v>4.4000000000000002E-4</v>
      </c>
      <c r="O34" s="30">
        <f t="shared" si="23"/>
        <v>3.0800000000000002E-6</v>
      </c>
      <c r="P34" s="30">
        <f t="shared" ref="P34" si="34">O34*$B$3</f>
        <v>2.31E-3</v>
      </c>
      <c r="Q34" s="30">
        <f t="shared" si="25"/>
        <v>1.0117800000000001E-2</v>
      </c>
      <c r="R34" s="22" t="str">
        <f t="shared" si="30"/>
        <v>Match</v>
      </c>
      <c r="S34" s="67">
        <v>1.58E-3</v>
      </c>
      <c r="T34" s="30">
        <f t="shared" ref="T34" si="35">S34*$I$1/1000000</f>
        <v>1.1060000000000001E-5</v>
      </c>
      <c r="U34" s="30">
        <f t="shared" ref="U34" si="36">T34*$B$3</f>
        <v>8.2950000000000003E-3</v>
      </c>
      <c r="V34" s="30">
        <f t="shared" si="28"/>
        <v>3.6332100000000006E-2</v>
      </c>
      <c r="W34" s="22" t="str">
        <f t="shared" si="31"/>
        <v/>
      </c>
    </row>
    <row r="35" spans="1:23" x14ac:dyDescent="0.2">
      <c r="A35" s="16" t="str">
        <f>IF($B$5="2-Stroke Lean-Burn","Benzo(a)pyrene","")</f>
        <v/>
      </c>
      <c r="B35" s="60"/>
      <c r="C35" s="61" t="str">
        <f t="shared" si="17"/>
        <v/>
      </c>
      <c r="D35" s="44" t="str">
        <f t="shared" si="18"/>
        <v/>
      </c>
      <c r="E35" s="44" t="str">
        <f t="shared" si="19"/>
        <v/>
      </c>
      <c r="F35" s="83"/>
      <c r="H35" s="1" t="s">
        <v>15</v>
      </c>
      <c r="I35" s="67">
        <v>5.6800000000000002E-9</v>
      </c>
      <c r="J35" s="30">
        <f t="shared" si="20"/>
        <v>3.976E-11</v>
      </c>
      <c r="K35" s="30">
        <f t="shared" si="21"/>
        <v>2.9819999999999998E-8</v>
      </c>
      <c r="L35" s="30">
        <f t="shared" si="22"/>
        <v>1.3061160000000001E-7</v>
      </c>
      <c r="M35" s="22" t="str">
        <f t="shared" si="29"/>
        <v/>
      </c>
      <c r="N35" s="29" t="s">
        <v>72</v>
      </c>
      <c r="O35" s="30"/>
      <c r="P35" s="30"/>
      <c r="Q35" s="30"/>
      <c r="R35" s="22" t="str">
        <f t="shared" si="30"/>
        <v>Match</v>
      </c>
      <c r="S35" s="29" t="s">
        <v>72</v>
      </c>
      <c r="T35" s="3"/>
      <c r="U35" s="30"/>
      <c r="V35" s="30"/>
      <c r="W35" s="22" t="str">
        <f t="shared" si="31"/>
        <v>Match</v>
      </c>
    </row>
    <row r="36" spans="1:23" x14ac:dyDescent="0.2">
      <c r="A36" s="15" t="str">
        <f>IF($B$5="4-Stroke Rich-Burn","","Benzo(b)fluoranthene")</f>
        <v>Benzo(b)fluoranthene</v>
      </c>
      <c r="B36" s="62"/>
      <c r="C36" s="63">
        <f t="shared" si="17"/>
        <v>1.66E-7</v>
      </c>
      <c r="D36" s="45">
        <f t="shared" si="18"/>
        <v>8.7149999999999994E-7</v>
      </c>
      <c r="E36" s="45">
        <f t="shared" si="19"/>
        <v>3.8171699999999992E-6</v>
      </c>
      <c r="F36" s="83"/>
      <c r="H36" s="1" t="s">
        <v>16</v>
      </c>
      <c r="I36" s="67">
        <v>8.5099999999999998E-9</v>
      </c>
      <c r="J36" s="30">
        <f t="shared" si="20"/>
        <v>5.9569999999999994E-11</v>
      </c>
      <c r="K36" s="30">
        <f t="shared" si="21"/>
        <v>4.4677499999999998E-8</v>
      </c>
      <c r="L36" s="30">
        <f t="shared" si="22"/>
        <v>1.9568744999999999E-7</v>
      </c>
      <c r="M36" s="22" t="str">
        <f t="shared" si="29"/>
        <v/>
      </c>
      <c r="N36" s="67">
        <v>1.66E-7</v>
      </c>
      <c r="O36" s="30">
        <f t="shared" si="23"/>
        <v>1.1620000000000001E-9</v>
      </c>
      <c r="P36" s="30">
        <f t="shared" ref="P36:P38" si="37">O36*$B$3</f>
        <v>8.7150000000000004E-7</v>
      </c>
      <c r="Q36" s="30">
        <f t="shared" si="25"/>
        <v>3.8171700000000001E-6</v>
      </c>
      <c r="R36" s="22" t="str">
        <f t="shared" si="30"/>
        <v>Match</v>
      </c>
      <c r="S36" s="29" t="s">
        <v>72</v>
      </c>
      <c r="T36" s="3"/>
      <c r="U36" s="30"/>
      <c r="V36" s="30"/>
      <c r="W36" s="22" t="str">
        <f t="shared" si="31"/>
        <v/>
      </c>
    </row>
    <row r="37" spans="1:23" x14ac:dyDescent="0.2">
      <c r="A37" s="16" t="str">
        <f>IF($B$5="4-Stroke Rich-Burn","","Benzo(e)pyrene")</f>
        <v>Benzo(e)pyrene</v>
      </c>
      <c r="B37" s="60"/>
      <c r="C37" s="61">
        <f t="shared" si="17"/>
        <v>4.15E-7</v>
      </c>
      <c r="D37" s="44">
        <f t="shared" si="18"/>
        <v>2.1787500000000001E-6</v>
      </c>
      <c r="E37" s="44">
        <f t="shared" si="19"/>
        <v>9.5429250000000015E-6</v>
      </c>
      <c r="F37" s="83"/>
      <c r="H37" s="1" t="s">
        <v>84</v>
      </c>
      <c r="I37" s="67">
        <v>2.3400000000000001E-8</v>
      </c>
      <c r="J37" s="30">
        <f t="shared" si="20"/>
        <v>1.6379999999999999E-10</v>
      </c>
      <c r="K37" s="30">
        <f t="shared" si="21"/>
        <v>1.2284999999999999E-7</v>
      </c>
      <c r="L37" s="30">
        <f t="shared" si="22"/>
        <v>5.3808299999999994E-7</v>
      </c>
      <c r="M37" s="22" t="str">
        <f t="shared" si="29"/>
        <v/>
      </c>
      <c r="N37" s="67">
        <v>4.15E-7</v>
      </c>
      <c r="O37" s="30">
        <f t="shared" si="23"/>
        <v>2.9050000000000002E-9</v>
      </c>
      <c r="P37" s="30">
        <f t="shared" si="37"/>
        <v>2.1787500000000001E-6</v>
      </c>
      <c r="Q37" s="30">
        <f t="shared" si="25"/>
        <v>9.5429250000000015E-6</v>
      </c>
      <c r="R37" s="22" t="str">
        <f t="shared" si="30"/>
        <v>Match</v>
      </c>
      <c r="S37" s="29" t="s">
        <v>72</v>
      </c>
      <c r="T37" s="3"/>
      <c r="U37" s="30"/>
      <c r="V37" s="30"/>
      <c r="W37" s="22" t="str">
        <f t="shared" si="31"/>
        <v/>
      </c>
    </row>
    <row r="38" spans="1:23" x14ac:dyDescent="0.2">
      <c r="A38" s="15" t="str">
        <f>IF($B$5="4-Stroke Rich-Burn","","benzo(g,h,i)perylene")</f>
        <v>benzo(g,h,i)perylene</v>
      </c>
      <c r="B38" s="62"/>
      <c r="C38" s="63">
        <f t="shared" si="17"/>
        <v>4.1399999999999997E-7</v>
      </c>
      <c r="D38" s="45">
        <f t="shared" si="18"/>
        <v>2.1734999999999996E-6</v>
      </c>
      <c r="E38" s="45">
        <f t="shared" si="19"/>
        <v>9.5199299999999971E-6</v>
      </c>
      <c r="F38" s="83"/>
      <c r="H38" s="1" t="s">
        <v>85</v>
      </c>
      <c r="I38" s="67">
        <v>2.48E-8</v>
      </c>
      <c r="J38" s="30">
        <f t="shared" si="20"/>
        <v>1.736E-10</v>
      </c>
      <c r="K38" s="30">
        <f t="shared" si="21"/>
        <v>1.3019999999999999E-7</v>
      </c>
      <c r="L38" s="30">
        <f t="shared" si="22"/>
        <v>5.7027599999999994E-7</v>
      </c>
      <c r="M38" s="22" t="str">
        <f t="shared" si="29"/>
        <v/>
      </c>
      <c r="N38" s="67">
        <v>4.1399999999999997E-7</v>
      </c>
      <c r="O38" s="30">
        <f t="shared" si="23"/>
        <v>2.8980000000000001E-9</v>
      </c>
      <c r="P38" s="30">
        <f t="shared" si="37"/>
        <v>2.1735E-6</v>
      </c>
      <c r="Q38" s="30">
        <f t="shared" si="25"/>
        <v>9.5199299999999988E-6</v>
      </c>
      <c r="R38" s="22" t="str">
        <f t="shared" si="30"/>
        <v>Match</v>
      </c>
      <c r="S38" s="29" t="s">
        <v>72</v>
      </c>
      <c r="T38" s="3"/>
      <c r="U38" s="30"/>
      <c r="V38" s="30"/>
      <c r="W38" s="22" t="str">
        <f t="shared" si="31"/>
        <v/>
      </c>
    </row>
    <row r="39" spans="1:23" x14ac:dyDescent="0.2">
      <c r="A39" s="16" t="str">
        <f>IF($B$5="2-Stroke Lean-Burn","Benzo(k)fluoranthene","")</f>
        <v/>
      </c>
      <c r="B39" s="60"/>
      <c r="C39" s="61" t="str">
        <f t="shared" si="17"/>
        <v/>
      </c>
      <c r="D39" s="44" t="str">
        <f t="shared" si="18"/>
        <v/>
      </c>
      <c r="E39" s="44" t="str">
        <f t="shared" si="19"/>
        <v/>
      </c>
      <c r="F39" s="83"/>
      <c r="H39" s="1" t="s">
        <v>17</v>
      </c>
      <c r="I39" s="67">
        <v>4.2599999999999998E-9</v>
      </c>
      <c r="J39" s="30">
        <f t="shared" si="20"/>
        <v>2.982E-11</v>
      </c>
      <c r="K39" s="30">
        <f t="shared" si="21"/>
        <v>2.2364999999999999E-8</v>
      </c>
      <c r="L39" s="30">
        <f t="shared" si="22"/>
        <v>9.7958699999999994E-8</v>
      </c>
      <c r="M39" s="22" t="str">
        <f t="shared" si="29"/>
        <v/>
      </c>
      <c r="N39" s="29" t="s">
        <v>72</v>
      </c>
      <c r="O39" s="30"/>
      <c r="P39" s="30"/>
      <c r="Q39" s="30"/>
      <c r="R39" s="22" t="str">
        <f t="shared" si="30"/>
        <v>Match</v>
      </c>
      <c r="S39" s="29" t="s">
        <v>72</v>
      </c>
      <c r="T39" s="3"/>
      <c r="U39" s="30"/>
      <c r="V39" s="30"/>
      <c r="W39" s="22" t="str">
        <f t="shared" si="31"/>
        <v>Match</v>
      </c>
    </row>
    <row r="40" spans="1:23" x14ac:dyDescent="0.2">
      <c r="A40" s="15" t="str">
        <f>IF($B$5="4-Stroke Rich-Burn","","Biphenyl")</f>
        <v>Biphenyl</v>
      </c>
      <c r="B40" s="62"/>
      <c r="C40" s="63">
        <f t="shared" si="17"/>
        <v>2.12E-4</v>
      </c>
      <c r="D40" s="45">
        <f t="shared" si="18"/>
        <v>1.1130000000000001E-3</v>
      </c>
      <c r="E40" s="45">
        <f t="shared" si="19"/>
        <v>4.8749400000000003E-3</v>
      </c>
      <c r="F40" s="83"/>
      <c r="H40" s="1" t="s">
        <v>86</v>
      </c>
      <c r="I40" s="67">
        <v>3.9500000000000003E-6</v>
      </c>
      <c r="J40" s="30">
        <f t="shared" si="20"/>
        <v>2.7649999999999999E-8</v>
      </c>
      <c r="K40" s="30">
        <f t="shared" si="21"/>
        <v>2.0737499999999999E-5</v>
      </c>
      <c r="L40" s="30">
        <f t="shared" si="22"/>
        <v>9.083025E-5</v>
      </c>
      <c r="M40" s="22" t="str">
        <f t="shared" si="29"/>
        <v/>
      </c>
      <c r="N40" s="67">
        <v>2.12E-4</v>
      </c>
      <c r="O40" s="30">
        <f t="shared" si="23"/>
        <v>1.4839999999999999E-6</v>
      </c>
      <c r="P40" s="30">
        <f t="shared" ref="P40:P49" si="38">O40*$B$3</f>
        <v>1.1129999999999998E-3</v>
      </c>
      <c r="Q40" s="30">
        <f t="shared" si="25"/>
        <v>4.8749399999999995E-3</v>
      </c>
      <c r="R40" s="22" t="str">
        <f t="shared" si="30"/>
        <v>Match</v>
      </c>
      <c r="S40" s="29" t="s">
        <v>72</v>
      </c>
      <c r="T40" s="3"/>
      <c r="U40" s="30"/>
      <c r="V40" s="30"/>
      <c r="W40" s="22" t="str">
        <f t="shared" si="31"/>
        <v/>
      </c>
    </row>
    <row r="41" spans="1:23" x14ac:dyDescent="0.2">
      <c r="A41" s="16" t="s">
        <v>50</v>
      </c>
      <c r="B41" s="60"/>
      <c r="C41" s="61">
        <f t="shared" si="17"/>
        <v>3.6699999999999998E-5</v>
      </c>
      <c r="D41" s="44">
        <f t="shared" si="18"/>
        <v>1.9267499999999998E-4</v>
      </c>
      <c r="E41" s="44">
        <f t="shared" si="19"/>
        <v>8.4391649999999996E-4</v>
      </c>
      <c r="F41" s="83"/>
      <c r="H41" s="1" t="s">
        <v>50</v>
      </c>
      <c r="I41" s="67">
        <v>6.0699999999999998E-5</v>
      </c>
      <c r="J41" s="30">
        <f t="shared" si="20"/>
        <v>4.249E-7</v>
      </c>
      <c r="K41" s="30">
        <f t="shared" si="21"/>
        <v>3.1867499999999998E-4</v>
      </c>
      <c r="L41" s="30">
        <f t="shared" si="22"/>
        <v>1.3957964999999999E-3</v>
      </c>
      <c r="M41" s="22" t="str">
        <f t="shared" si="29"/>
        <v/>
      </c>
      <c r="N41" s="67">
        <v>3.6699999999999998E-5</v>
      </c>
      <c r="O41" s="30">
        <f t="shared" si="23"/>
        <v>2.5689999999999998E-7</v>
      </c>
      <c r="P41" s="30">
        <f t="shared" si="38"/>
        <v>1.9267499999999998E-4</v>
      </c>
      <c r="Q41" s="30">
        <f t="shared" si="25"/>
        <v>8.4391649999999996E-4</v>
      </c>
      <c r="R41" s="22" t="str">
        <f t="shared" si="30"/>
        <v>Match</v>
      </c>
      <c r="S41" s="67">
        <v>1.77E-5</v>
      </c>
      <c r="T41" s="30">
        <f t="shared" ref="T41:T43" si="39">S41*$I$1/1000000</f>
        <v>1.2389999999999999E-7</v>
      </c>
      <c r="U41" s="30">
        <f t="shared" ref="U41:U43" si="40">T41*$B$3</f>
        <v>9.2924999999999995E-5</v>
      </c>
      <c r="V41" s="30">
        <f t="shared" si="28"/>
        <v>4.0701149999999999E-4</v>
      </c>
      <c r="W41" s="22" t="str">
        <f t="shared" si="31"/>
        <v/>
      </c>
    </row>
    <row r="42" spans="1:23" x14ac:dyDescent="0.2">
      <c r="A42" s="15" t="s">
        <v>51</v>
      </c>
      <c r="B42" s="62"/>
      <c r="C42" s="63">
        <f t="shared" si="17"/>
        <v>3.04E-5</v>
      </c>
      <c r="D42" s="45">
        <f t="shared" si="18"/>
        <v>1.596E-4</v>
      </c>
      <c r="E42" s="45">
        <f t="shared" si="19"/>
        <v>6.9904799999999997E-4</v>
      </c>
      <c r="F42" s="83"/>
      <c r="H42" s="1" t="s">
        <v>51</v>
      </c>
      <c r="I42" s="67">
        <v>4.4400000000000002E-5</v>
      </c>
      <c r="J42" s="30">
        <f t="shared" si="20"/>
        <v>3.108E-7</v>
      </c>
      <c r="K42" s="30">
        <f t="shared" si="21"/>
        <v>2.331E-4</v>
      </c>
      <c r="L42" s="30">
        <f t="shared" si="22"/>
        <v>1.0209779999999999E-3</v>
      </c>
      <c r="M42" s="22" t="str">
        <f t="shared" si="29"/>
        <v/>
      </c>
      <c r="N42" s="67">
        <v>3.04E-5</v>
      </c>
      <c r="O42" s="30">
        <f t="shared" si="23"/>
        <v>2.128E-7</v>
      </c>
      <c r="P42" s="30">
        <f t="shared" si="38"/>
        <v>1.596E-4</v>
      </c>
      <c r="Q42" s="30">
        <f t="shared" si="25"/>
        <v>6.9904799999999997E-4</v>
      </c>
      <c r="R42" s="22" t="str">
        <f t="shared" si="30"/>
        <v>Match</v>
      </c>
      <c r="S42" s="67">
        <v>1.29E-5</v>
      </c>
      <c r="T42" s="30">
        <f t="shared" si="39"/>
        <v>9.0300000000000008E-8</v>
      </c>
      <c r="U42" s="30">
        <f t="shared" si="40"/>
        <v>6.7725000000000006E-5</v>
      </c>
      <c r="V42" s="30">
        <f t="shared" si="28"/>
        <v>2.9663550000000007E-4</v>
      </c>
      <c r="W42" s="22" t="str">
        <f t="shared" si="31"/>
        <v/>
      </c>
    </row>
    <row r="43" spans="1:23" x14ac:dyDescent="0.2">
      <c r="A43" s="16" t="s">
        <v>52</v>
      </c>
      <c r="B43" s="60"/>
      <c r="C43" s="61">
        <f t="shared" si="17"/>
        <v>2.8500000000000002E-5</v>
      </c>
      <c r="D43" s="44">
        <f t="shared" si="18"/>
        <v>1.4962499999999999E-4</v>
      </c>
      <c r="E43" s="44">
        <f t="shared" si="19"/>
        <v>6.5535749999999992E-4</v>
      </c>
      <c r="F43" s="83"/>
      <c r="H43" s="1" t="s">
        <v>52</v>
      </c>
      <c r="I43" s="67">
        <v>4.71E-5</v>
      </c>
      <c r="J43" s="30">
        <f t="shared" si="20"/>
        <v>3.2969999999999999E-7</v>
      </c>
      <c r="K43" s="30">
        <f t="shared" si="21"/>
        <v>2.4727499999999998E-4</v>
      </c>
      <c r="L43" s="30">
        <f t="shared" si="22"/>
        <v>1.0830644999999999E-3</v>
      </c>
      <c r="M43" s="22" t="str">
        <f t="shared" si="29"/>
        <v/>
      </c>
      <c r="N43" s="67">
        <v>2.8500000000000002E-5</v>
      </c>
      <c r="O43" s="30">
        <f t="shared" si="23"/>
        <v>1.9950000000000001E-7</v>
      </c>
      <c r="P43" s="30">
        <f t="shared" si="38"/>
        <v>1.4962499999999999E-4</v>
      </c>
      <c r="Q43" s="30">
        <f t="shared" si="25"/>
        <v>6.5535749999999992E-4</v>
      </c>
      <c r="R43" s="22" t="str">
        <f t="shared" si="30"/>
        <v>Match</v>
      </c>
      <c r="S43" s="67">
        <v>1.3699999999999999E-5</v>
      </c>
      <c r="T43" s="30">
        <f t="shared" si="39"/>
        <v>9.5900000000000005E-8</v>
      </c>
      <c r="U43" s="30">
        <f t="shared" si="40"/>
        <v>7.1925E-5</v>
      </c>
      <c r="V43" s="30">
        <f t="shared" si="28"/>
        <v>3.1503150000000002E-4</v>
      </c>
      <c r="W43" s="22" t="str">
        <f t="shared" si="31"/>
        <v/>
      </c>
    </row>
    <row r="44" spans="1:23" x14ac:dyDescent="0.2">
      <c r="A44" s="15" t="str">
        <f>IF($B$5="4-Stroke Rich-Burn","","Chrysene")</f>
        <v>Chrysene</v>
      </c>
      <c r="B44" s="62"/>
      <c r="C44" s="63">
        <f t="shared" si="17"/>
        <v>6.9299999999999997E-7</v>
      </c>
      <c r="D44" s="45">
        <f t="shared" si="18"/>
        <v>3.6382500000000003E-6</v>
      </c>
      <c r="E44" s="45">
        <f t="shared" si="19"/>
        <v>1.5935534999999999E-5</v>
      </c>
      <c r="F44" s="83"/>
      <c r="H44" s="1" t="s">
        <v>18</v>
      </c>
      <c r="I44" s="67">
        <v>6.7199999999999998E-7</v>
      </c>
      <c r="J44" s="30">
        <f t="shared" si="20"/>
        <v>4.7039999999999995E-9</v>
      </c>
      <c r="K44" s="30">
        <f t="shared" si="21"/>
        <v>3.5279999999999995E-6</v>
      </c>
      <c r="L44" s="30">
        <f t="shared" si="22"/>
        <v>1.5452639999999998E-5</v>
      </c>
      <c r="M44" s="22" t="str">
        <f t="shared" si="29"/>
        <v/>
      </c>
      <c r="N44" s="67">
        <v>6.9299999999999997E-7</v>
      </c>
      <c r="O44" s="30">
        <f t="shared" si="23"/>
        <v>4.8509999999999991E-9</v>
      </c>
      <c r="P44" s="30">
        <f t="shared" si="38"/>
        <v>3.6382499999999994E-6</v>
      </c>
      <c r="Q44" s="30">
        <f t="shared" si="25"/>
        <v>1.5935534999999996E-5</v>
      </c>
      <c r="R44" s="22" t="str">
        <f t="shared" si="30"/>
        <v>Match</v>
      </c>
      <c r="S44" s="29" t="s">
        <v>72</v>
      </c>
      <c r="T44" s="3"/>
      <c r="U44" s="30"/>
      <c r="V44" s="30"/>
      <c r="W44" s="22" t="str">
        <f t="shared" si="31"/>
        <v/>
      </c>
    </row>
    <row r="45" spans="1:23" x14ac:dyDescent="0.2">
      <c r="A45" s="16" t="s">
        <v>25</v>
      </c>
      <c r="B45" s="60"/>
      <c r="C45" s="61">
        <f t="shared" si="17"/>
        <v>3.9700000000000003E-5</v>
      </c>
      <c r="D45" s="44">
        <f t="shared" si="18"/>
        <v>2.0842500000000001E-4</v>
      </c>
      <c r="E45" s="44">
        <f t="shared" si="19"/>
        <v>9.1290149999999999E-4</v>
      </c>
      <c r="F45" s="83"/>
      <c r="H45" s="1" t="s">
        <v>25</v>
      </c>
      <c r="I45" s="67">
        <v>1.08E-4</v>
      </c>
      <c r="J45" s="30">
        <f t="shared" si="20"/>
        <v>7.5600000000000005E-7</v>
      </c>
      <c r="K45" s="30">
        <f t="shared" si="21"/>
        <v>5.6700000000000001E-4</v>
      </c>
      <c r="L45" s="30">
        <f t="shared" si="22"/>
        <v>2.4834599999999998E-3</v>
      </c>
      <c r="M45" s="22" t="str">
        <f t="shared" si="29"/>
        <v/>
      </c>
      <c r="N45" s="67">
        <v>3.9700000000000003E-5</v>
      </c>
      <c r="O45" s="30">
        <f t="shared" si="23"/>
        <v>2.7790000000000002E-7</v>
      </c>
      <c r="P45" s="30">
        <f t="shared" si="38"/>
        <v>2.0842500000000001E-4</v>
      </c>
      <c r="Q45" s="30">
        <f t="shared" si="25"/>
        <v>9.1290149999999999E-4</v>
      </c>
      <c r="R45" s="22" t="str">
        <f t="shared" si="30"/>
        <v>Match</v>
      </c>
      <c r="S45" s="67">
        <v>2.48E-5</v>
      </c>
      <c r="T45" s="30">
        <f t="shared" ref="T45:T46" si="41">S45*$I$1/1000000</f>
        <v>1.7359999999999999E-7</v>
      </c>
      <c r="U45" s="30">
        <f t="shared" ref="U45:U46" si="42">T45*$B$3</f>
        <v>1.3019999999999999E-4</v>
      </c>
      <c r="V45" s="30">
        <f t="shared" si="28"/>
        <v>5.7027599999999999E-4</v>
      </c>
      <c r="W45" s="22" t="str">
        <f t="shared" si="31"/>
        <v/>
      </c>
    </row>
    <row r="46" spans="1:23" x14ac:dyDescent="0.2">
      <c r="A46" s="15" t="s">
        <v>53</v>
      </c>
      <c r="B46" s="62"/>
      <c r="C46" s="63">
        <f t="shared" si="17"/>
        <v>4.4299999999999999E-5</v>
      </c>
      <c r="D46" s="45">
        <f t="shared" si="18"/>
        <v>2.32575E-4</v>
      </c>
      <c r="E46" s="45">
        <f t="shared" si="19"/>
        <v>1.0186785E-3</v>
      </c>
      <c r="F46" s="83"/>
      <c r="H46" s="1" t="s">
        <v>53</v>
      </c>
      <c r="I46" s="67">
        <v>7.3399999999999995E-5</v>
      </c>
      <c r="J46" s="30">
        <f t="shared" si="20"/>
        <v>5.1379999999999996E-7</v>
      </c>
      <c r="K46" s="30">
        <f t="shared" si="21"/>
        <v>3.8534999999999996E-4</v>
      </c>
      <c r="L46" s="30">
        <f t="shared" si="22"/>
        <v>1.6878329999999999E-3</v>
      </c>
      <c r="M46" s="22" t="str">
        <f t="shared" si="29"/>
        <v/>
      </c>
      <c r="N46" s="67">
        <v>4.4299999999999999E-5</v>
      </c>
      <c r="O46" s="30">
        <f t="shared" si="23"/>
        <v>3.101E-7</v>
      </c>
      <c r="P46" s="30">
        <f t="shared" si="38"/>
        <v>2.32575E-4</v>
      </c>
      <c r="Q46" s="30">
        <f t="shared" si="25"/>
        <v>1.0186785E-3</v>
      </c>
      <c r="R46" s="22" t="str">
        <f t="shared" si="30"/>
        <v>Match</v>
      </c>
      <c r="S46" s="67">
        <v>2.1299999999999999E-5</v>
      </c>
      <c r="T46" s="30">
        <f t="shared" si="41"/>
        <v>1.4909999999999998E-7</v>
      </c>
      <c r="U46" s="30">
        <f t="shared" si="42"/>
        <v>1.1182499999999998E-4</v>
      </c>
      <c r="V46" s="30">
        <f t="shared" si="28"/>
        <v>4.8979349999999993E-4</v>
      </c>
      <c r="W46" s="22" t="str">
        <f t="shared" si="31"/>
        <v/>
      </c>
    </row>
    <row r="47" spans="1:23" x14ac:dyDescent="0.2">
      <c r="A47" s="16" t="str">
        <f>IF($B$5="4-Stroke Rich-Burn","","Fluoranthene")</f>
        <v>Fluoranthene</v>
      </c>
      <c r="B47" s="60"/>
      <c r="C47" s="61">
        <f t="shared" si="17"/>
        <v>1.11E-6</v>
      </c>
      <c r="D47" s="44">
        <f t="shared" si="18"/>
        <v>5.8274999999999997E-6</v>
      </c>
      <c r="E47" s="44">
        <f t="shared" si="19"/>
        <v>2.5524449999999996E-5</v>
      </c>
      <c r="F47" s="83"/>
      <c r="H47" s="1" t="s">
        <v>19</v>
      </c>
      <c r="I47" s="67">
        <v>3.6100000000000002E-7</v>
      </c>
      <c r="J47" s="30">
        <f t="shared" si="20"/>
        <v>2.5270000000000001E-9</v>
      </c>
      <c r="K47" s="30">
        <f t="shared" si="21"/>
        <v>1.89525E-6</v>
      </c>
      <c r="L47" s="30">
        <f t="shared" si="22"/>
        <v>8.301194999999999E-6</v>
      </c>
      <c r="M47" s="22" t="str">
        <f t="shared" si="29"/>
        <v/>
      </c>
      <c r="N47" s="67">
        <v>1.11E-6</v>
      </c>
      <c r="O47" s="30">
        <f t="shared" si="23"/>
        <v>7.7699999999999994E-9</v>
      </c>
      <c r="P47" s="30">
        <f t="shared" si="38"/>
        <v>5.8274999999999997E-6</v>
      </c>
      <c r="Q47" s="30">
        <f t="shared" si="25"/>
        <v>2.5524449999999996E-5</v>
      </c>
      <c r="R47" s="22" t="str">
        <f t="shared" si="30"/>
        <v>Match</v>
      </c>
      <c r="S47" s="29" t="s">
        <v>72</v>
      </c>
      <c r="T47" s="3"/>
      <c r="U47" s="30"/>
      <c r="V47" s="30"/>
      <c r="W47" s="22" t="str">
        <f t="shared" si="31"/>
        <v/>
      </c>
    </row>
    <row r="48" spans="1:23" x14ac:dyDescent="0.2">
      <c r="A48" s="15" t="str">
        <f>IF($B$5="4-Stroke Rich-Burn","","Fluorene")</f>
        <v>Fluorene</v>
      </c>
      <c r="B48" s="62"/>
      <c r="C48" s="63">
        <f t="shared" si="17"/>
        <v>5.6699999999999999E-6</v>
      </c>
      <c r="D48" s="45">
        <f t="shared" si="18"/>
        <v>2.9767500000000003E-5</v>
      </c>
      <c r="E48" s="45">
        <f t="shared" si="19"/>
        <v>1.3038165E-4</v>
      </c>
      <c r="F48" s="83"/>
      <c r="H48" s="1" t="s">
        <v>20</v>
      </c>
      <c r="I48" s="67">
        <v>1.6899999999999999E-6</v>
      </c>
      <c r="J48" s="30">
        <f t="shared" si="20"/>
        <v>1.1830000000000001E-8</v>
      </c>
      <c r="K48" s="30">
        <f t="shared" si="21"/>
        <v>8.8725000000000002E-6</v>
      </c>
      <c r="L48" s="30">
        <f t="shared" si="22"/>
        <v>3.8861550000000004E-5</v>
      </c>
      <c r="M48" s="22" t="str">
        <f t="shared" si="29"/>
        <v/>
      </c>
      <c r="N48" s="67">
        <v>5.6699999999999999E-6</v>
      </c>
      <c r="O48" s="30">
        <f t="shared" si="23"/>
        <v>3.9689999999999993E-8</v>
      </c>
      <c r="P48" s="30">
        <f t="shared" si="38"/>
        <v>2.9767499999999996E-5</v>
      </c>
      <c r="Q48" s="30">
        <f t="shared" si="25"/>
        <v>1.3038164999999998E-4</v>
      </c>
      <c r="R48" s="22" t="str">
        <f t="shared" si="30"/>
        <v>Match</v>
      </c>
      <c r="S48" s="29" t="s">
        <v>72</v>
      </c>
      <c r="T48" s="3"/>
      <c r="U48" s="30"/>
      <c r="V48" s="30"/>
      <c r="W48" s="22" t="str">
        <f t="shared" si="31"/>
        <v/>
      </c>
    </row>
    <row r="49" spans="1:23" x14ac:dyDescent="0.2">
      <c r="A49" s="16" t="s">
        <v>21</v>
      </c>
      <c r="B49" s="60"/>
      <c r="C49" s="61">
        <f t="shared" si="17"/>
        <v>5.28E-2</v>
      </c>
      <c r="D49" s="44">
        <f t="shared" si="18"/>
        <v>0.2772</v>
      </c>
      <c r="E49" s="44">
        <f t="shared" si="19"/>
        <v>1.2141359999999999</v>
      </c>
      <c r="F49" s="83"/>
      <c r="H49" s="1" t="s">
        <v>21</v>
      </c>
      <c r="I49" s="67">
        <v>5.5199999999999999E-2</v>
      </c>
      <c r="J49" s="30">
        <f t="shared" si="20"/>
        <v>3.8639999999999996E-4</v>
      </c>
      <c r="K49" s="30">
        <f t="shared" si="21"/>
        <v>0.28979999999999995</v>
      </c>
      <c r="L49" s="30">
        <f t="shared" si="22"/>
        <v>1.2693239999999999</v>
      </c>
      <c r="M49" s="22" t="str">
        <f t="shared" si="29"/>
        <v/>
      </c>
      <c r="N49" s="67">
        <v>5.28E-2</v>
      </c>
      <c r="O49" s="30">
        <f t="shared" si="23"/>
        <v>3.6960000000000004E-4</v>
      </c>
      <c r="P49" s="30">
        <f t="shared" si="38"/>
        <v>0.2772</v>
      </c>
      <c r="Q49" s="30">
        <f t="shared" si="25"/>
        <v>1.2141359999999999</v>
      </c>
      <c r="R49" s="22" t="str">
        <f t="shared" si="30"/>
        <v>Match</v>
      </c>
      <c r="S49" s="67">
        <v>2.0500000000000001E-2</v>
      </c>
      <c r="T49" s="30">
        <f t="shared" ref="T49" si="43">S49*$I$1/1000000</f>
        <v>1.4349999999999999E-4</v>
      </c>
      <c r="U49" s="30">
        <f t="shared" ref="U49" si="44">T49*$B$3</f>
        <v>0.107625</v>
      </c>
      <c r="V49" s="30">
        <f t="shared" si="28"/>
        <v>0.47139749999999997</v>
      </c>
      <c r="W49" s="22" t="str">
        <f t="shared" si="31"/>
        <v/>
      </c>
    </row>
    <row r="50" spans="1:23" x14ac:dyDescent="0.2">
      <c r="A50" s="15" t="str">
        <f>IF($B$5="2-Stroke Lean-Burn","Indeno(1,2,3-c,d)pyrene","")</f>
        <v/>
      </c>
      <c r="B50" s="62"/>
      <c r="C50" s="63" t="str">
        <f t="shared" si="17"/>
        <v/>
      </c>
      <c r="D50" s="45" t="str">
        <f t="shared" si="18"/>
        <v/>
      </c>
      <c r="E50" s="45" t="str">
        <f t="shared" si="19"/>
        <v/>
      </c>
      <c r="F50" s="83"/>
      <c r="H50" s="1" t="s">
        <v>87</v>
      </c>
      <c r="I50" s="67">
        <v>9.9300000000000002E-9</v>
      </c>
      <c r="J50" s="30">
        <f t="shared" si="20"/>
        <v>6.9510000000000001E-11</v>
      </c>
      <c r="K50" s="30">
        <f t="shared" si="21"/>
        <v>5.21325E-8</v>
      </c>
      <c r="L50" s="30">
        <f t="shared" si="22"/>
        <v>2.2834035000000002E-7</v>
      </c>
      <c r="M50" s="22" t="str">
        <f t="shared" si="29"/>
        <v/>
      </c>
      <c r="N50" s="29" t="s">
        <v>72</v>
      </c>
      <c r="O50" s="30"/>
      <c r="P50" s="30"/>
      <c r="Q50" s="30"/>
      <c r="R50" s="22" t="str">
        <f t="shared" si="30"/>
        <v>Match</v>
      </c>
      <c r="S50" s="29" t="s">
        <v>72</v>
      </c>
      <c r="T50" s="3"/>
      <c r="U50" s="30"/>
      <c r="V50" s="30"/>
      <c r="W50" s="22" t="str">
        <f t="shared" si="31"/>
        <v>Match</v>
      </c>
    </row>
    <row r="51" spans="1:23" x14ac:dyDescent="0.2">
      <c r="A51" s="16" t="s">
        <v>54</v>
      </c>
      <c r="B51" s="60"/>
      <c r="C51" s="61">
        <f t="shared" si="17"/>
        <v>2.5000000000000001E-3</v>
      </c>
      <c r="D51" s="44">
        <f t="shared" si="18"/>
        <v>1.3125E-2</v>
      </c>
      <c r="E51" s="44">
        <f t="shared" si="19"/>
        <v>5.7487499999999997E-2</v>
      </c>
      <c r="F51" s="83"/>
      <c r="H51" s="1" t="s">
        <v>54</v>
      </c>
      <c r="I51" s="67">
        <v>2.48E-3</v>
      </c>
      <c r="J51" s="30">
        <f t="shared" si="20"/>
        <v>1.736E-5</v>
      </c>
      <c r="K51" s="30">
        <f t="shared" si="21"/>
        <v>1.302E-2</v>
      </c>
      <c r="L51" s="30">
        <f t="shared" si="22"/>
        <v>5.7027599999999998E-2</v>
      </c>
      <c r="M51" s="22" t="str">
        <f t="shared" si="29"/>
        <v/>
      </c>
      <c r="N51" s="67">
        <v>2.5000000000000001E-3</v>
      </c>
      <c r="O51" s="30">
        <f t="shared" si="23"/>
        <v>1.7499999999999998E-5</v>
      </c>
      <c r="P51" s="30">
        <f t="shared" ref="P51:P55" si="45">O51*$B$3</f>
        <v>1.3125E-2</v>
      </c>
      <c r="Q51" s="30">
        <f t="shared" si="25"/>
        <v>5.7487499999999997E-2</v>
      </c>
      <c r="R51" s="22" t="str">
        <f t="shared" si="30"/>
        <v>Match</v>
      </c>
      <c r="S51" s="67">
        <v>3.0599999999999998E-3</v>
      </c>
      <c r="T51" s="30">
        <f t="shared" ref="T51:T52" si="46">S51*$I$1/1000000</f>
        <v>2.1419999999999998E-5</v>
      </c>
      <c r="U51" s="30">
        <f t="shared" ref="U51:U52" si="47">T51*$B$3</f>
        <v>1.6064999999999999E-2</v>
      </c>
      <c r="V51" s="30">
        <f t="shared" si="28"/>
        <v>7.0364700000000002E-2</v>
      </c>
      <c r="W51" s="22" t="str">
        <f t="shared" si="31"/>
        <v/>
      </c>
    </row>
    <row r="52" spans="1:23" x14ac:dyDescent="0.2">
      <c r="A52" s="15" t="s">
        <v>55</v>
      </c>
      <c r="B52" s="62"/>
      <c r="C52" s="63">
        <f t="shared" si="17"/>
        <v>2.0000000000000002E-5</v>
      </c>
      <c r="D52" s="45">
        <f t="shared" si="18"/>
        <v>1.0500000000000002E-4</v>
      </c>
      <c r="E52" s="45">
        <f t="shared" si="19"/>
        <v>4.5990000000000007E-4</v>
      </c>
      <c r="F52" s="83"/>
      <c r="H52" s="1" t="s">
        <v>55</v>
      </c>
      <c r="I52" s="67">
        <v>1.47E-4</v>
      </c>
      <c r="J52" s="30">
        <f t="shared" si="20"/>
        <v>1.029E-6</v>
      </c>
      <c r="K52" s="30">
        <f t="shared" si="21"/>
        <v>7.7174999999999998E-4</v>
      </c>
      <c r="L52" s="30">
        <f t="shared" si="22"/>
        <v>3.3802649999999999E-3</v>
      </c>
      <c r="M52" s="22" t="str">
        <f t="shared" si="29"/>
        <v/>
      </c>
      <c r="N52" s="67">
        <v>2.0000000000000002E-5</v>
      </c>
      <c r="O52" s="30">
        <f t="shared" si="23"/>
        <v>1.4000000000000001E-7</v>
      </c>
      <c r="P52" s="30">
        <f t="shared" si="45"/>
        <v>1.05E-4</v>
      </c>
      <c r="Q52" s="30">
        <f t="shared" si="25"/>
        <v>4.5990000000000001E-4</v>
      </c>
      <c r="R52" s="22" t="str">
        <f t="shared" si="30"/>
        <v>Match</v>
      </c>
      <c r="S52" s="67">
        <v>4.1199999999999999E-5</v>
      </c>
      <c r="T52" s="30">
        <f t="shared" si="46"/>
        <v>2.8840000000000001E-7</v>
      </c>
      <c r="U52" s="30">
        <f t="shared" si="47"/>
        <v>2.163E-4</v>
      </c>
      <c r="V52" s="30">
        <f t="shared" si="28"/>
        <v>9.4739399999999995E-4</v>
      </c>
      <c r="W52" s="22" t="str">
        <f t="shared" si="31"/>
        <v/>
      </c>
    </row>
    <row r="53" spans="1:23" x14ac:dyDescent="0.2">
      <c r="A53" s="16" t="str">
        <f>IF($B$5="4-Stroke Rich-Burn","","n-Hexane")</f>
        <v>n-Hexane</v>
      </c>
      <c r="B53" s="60"/>
      <c r="C53" s="61">
        <f t="shared" si="17"/>
        <v>1.1100000000000001E-3</v>
      </c>
      <c r="D53" s="44">
        <f t="shared" si="18"/>
        <v>5.8275000000000002E-3</v>
      </c>
      <c r="E53" s="44">
        <f t="shared" si="19"/>
        <v>2.5524450000000001E-2</v>
      </c>
      <c r="F53" s="83"/>
      <c r="H53" s="1" t="s">
        <v>88</v>
      </c>
      <c r="I53" s="67">
        <v>4.4499999999999997E-4</v>
      </c>
      <c r="J53" s="30">
        <f t="shared" si="20"/>
        <v>3.1149999999999998E-6</v>
      </c>
      <c r="K53" s="30">
        <f t="shared" si="21"/>
        <v>2.3362499999999998E-3</v>
      </c>
      <c r="L53" s="30">
        <f t="shared" si="22"/>
        <v>1.0232774999999998E-2</v>
      </c>
      <c r="M53" s="22" t="str">
        <f t="shared" si="29"/>
        <v/>
      </c>
      <c r="N53" s="67">
        <v>1.1100000000000001E-3</v>
      </c>
      <c r="O53" s="30">
        <f t="shared" si="23"/>
        <v>7.7700000000000001E-6</v>
      </c>
      <c r="P53" s="30">
        <f t="shared" si="45"/>
        <v>5.8275000000000002E-3</v>
      </c>
      <c r="Q53" s="30">
        <f t="shared" si="25"/>
        <v>2.5524450000000001E-2</v>
      </c>
      <c r="R53" s="22" t="str">
        <f t="shared" si="30"/>
        <v>Match</v>
      </c>
      <c r="S53" s="29" t="s">
        <v>72</v>
      </c>
      <c r="T53" s="3"/>
      <c r="U53" s="30"/>
      <c r="V53" s="30"/>
      <c r="W53" s="22" t="str">
        <f t="shared" si="31"/>
        <v/>
      </c>
    </row>
    <row r="54" spans="1:23" x14ac:dyDescent="0.2">
      <c r="A54" s="15" t="s">
        <v>22</v>
      </c>
      <c r="B54" s="62"/>
      <c r="C54" s="63">
        <f t="shared" si="17"/>
        <v>7.4400000000000006E-5</v>
      </c>
      <c r="D54" s="45">
        <f t="shared" si="18"/>
        <v>3.9060000000000001E-4</v>
      </c>
      <c r="E54" s="45">
        <f t="shared" si="19"/>
        <v>1.710828E-3</v>
      </c>
      <c r="F54" s="83"/>
      <c r="H54" s="1" t="s">
        <v>22</v>
      </c>
      <c r="I54" s="67">
        <v>9.6299999999999996E-5</v>
      </c>
      <c r="J54" s="30">
        <f t="shared" si="20"/>
        <v>6.7409999999999993E-7</v>
      </c>
      <c r="K54" s="30">
        <f t="shared" si="21"/>
        <v>5.0557499999999997E-4</v>
      </c>
      <c r="L54" s="30">
        <f t="shared" si="22"/>
        <v>2.2144184999999999E-3</v>
      </c>
      <c r="M54" s="22" t="str">
        <f t="shared" si="29"/>
        <v/>
      </c>
      <c r="N54" s="67">
        <v>7.4400000000000006E-5</v>
      </c>
      <c r="O54" s="30">
        <f t="shared" si="23"/>
        <v>5.2080000000000006E-7</v>
      </c>
      <c r="P54" s="30">
        <f t="shared" si="45"/>
        <v>3.9060000000000006E-4</v>
      </c>
      <c r="Q54" s="30">
        <f t="shared" si="25"/>
        <v>1.7108280000000002E-3</v>
      </c>
      <c r="R54" s="22" t="str">
        <f t="shared" si="30"/>
        <v>Match</v>
      </c>
      <c r="S54" s="67">
        <v>9.7100000000000002E-5</v>
      </c>
      <c r="T54" s="30">
        <f t="shared" ref="T54:T55" si="48">S54*$I$1/1000000</f>
        <v>6.7969999999999993E-7</v>
      </c>
      <c r="U54" s="30">
        <f t="shared" ref="U54:U55" si="49">T54*$B$3</f>
        <v>5.0977499999999996E-4</v>
      </c>
      <c r="V54" s="30">
        <f t="shared" si="28"/>
        <v>2.2328144999999998E-3</v>
      </c>
      <c r="W54" s="22" t="str">
        <f t="shared" si="31"/>
        <v/>
      </c>
    </row>
    <row r="55" spans="1:23" x14ac:dyDescent="0.2">
      <c r="A55" s="16" t="s">
        <v>56</v>
      </c>
      <c r="B55" s="60"/>
      <c r="C55" s="61">
        <f t="shared" si="17"/>
        <v>2.69E-5</v>
      </c>
      <c r="D55" s="44">
        <f t="shared" si="18"/>
        <v>1.41225E-4</v>
      </c>
      <c r="E55" s="44">
        <f t="shared" si="19"/>
        <v>6.1856550000000002E-4</v>
      </c>
      <c r="F55" s="83"/>
      <c r="H55" s="1" t="s">
        <v>56</v>
      </c>
      <c r="I55" s="67">
        <v>1.34E-4</v>
      </c>
      <c r="J55" s="30">
        <f t="shared" si="20"/>
        <v>9.3800000000000006E-7</v>
      </c>
      <c r="K55" s="30">
        <f t="shared" si="21"/>
        <v>7.0350000000000002E-4</v>
      </c>
      <c r="L55" s="30">
        <f t="shared" si="22"/>
        <v>3.0813299999999997E-3</v>
      </c>
      <c r="M55" s="22" t="str">
        <f t="shared" si="29"/>
        <v/>
      </c>
      <c r="N55" s="67">
        <v>2.69E-5</v>
      </c>
      <c r="O55" s="30">
        <f t="shared" si="23"/>
        <v>1.8829999999999999E-7</v>
      </c>
      <c r="P55" s="30">
        <f t="shared" si="45"/>
        <v>1.4122499999999998E-4</v>
      </c>
      <c r="Q55" s="30">
        <f t="shared" si="25"/>
        <v>6.1856549999999991E-4</v>
      </c>
      <c r="R55" s="22" t="str">
        <f t="shared" si="30"/>
        <v>Match</v>
      </c>
      <c r="S55" s="67">
        <v>1.4100000000000001E-4</v>
      </c>
      <c r="T55" s="30">
        <f t="shared" si="48"/>
        <v>9.8700000000000004E-7</v>
      </c>
      <c r="U55" s="30">
        <f t="shared" si="49"/>
        <v>7.4025000000000002E-4</v>
      </c>
      <c r="V55" s="30">
        <f t="shared" si="28"/>
        <v>3.2422950000000001E-3</v>
      </c>
      <c r="W55" s="22" t="str">
        <f t="shared" si="31"/>
        <v/>
      </c>
    </row>
    <row r="56" spans="1:23" x14ac:dyDescent="0.2">
      <c r="A56" s="15" t="str">
        <f>IF($B$5="2-Stroke Lean-Burn","Perylene","")</f>
        <v/>
      </c>
      <c r="B56" s="62"/>
      <c r="C56" s="63" t="str">
        <f t="shared" si="17"/>
        <v/>
      </c>
      <c r="D56" s="45" t="str">
        <f t="shared" si="18"/>
        <v/>
      </c>
      <c r="E56" s="45" t="str">
        <f t="shared" si="19"/>
        <v/>
      </c>
      <c r="F56" s="83"/>
      <c r="H56" s="1" t="s">
        <v>89</v>
      </c>
      <c r="I56" s="67">
        <v>4.97E-9</v>
      </c>
      <c r="J56" s="30">
        <f t="shared" si="20"/>
        <v>3.4789999999999997E-11</v>
      </c>
      <c r="K56" s="30">
        <f t="shared" si="21"/>
        <v>2.6092499999999997E-8</v>
      </c>
      <c r="L56" s="30">
        <f t="shared" si="22"/>
        <v>1.1428515E-7</v>
      </c>
      <c r="M56" s="22" t="str">
        <f t="shared" si="29"/>
        <v/>
      </c>
      <c r="N56" s="29" t="s">
        <v>72</v>
      </c>
      <c r="O56" s="30"/>
      <c r="P56" s="30"/>
      <c r="Q56" s="30"/>
      <c r="R56" s="22" t="str">
        <f t="shared" si="30"/>
        <v>Match</v>
      </c>
      <c r="S56" s="29" t="s">
        <v>72</v>
      </c>
      <c r="T56" s="3"/>
      <c r="U56" s="30"/>
      <c r="V56" s="30"/>
      <c r="W56" s="22" t="str">
        <f t="shared" si="31"/>
        <v>Match</v>
      </c>
    </row>
    <row r="57" spans="1:23" x14ac:dyDescent="0.2">
      <c r="A57" s="16" t="str">
        <f>IF($B$5="4-Stroke Rich-Burn","","Phenanthrene")</f>
        <v>Phenanthrene</v>
      </c>
      <c r="B57" s="60"/>
      <c r="C57" s="61">
        <f t="shared" si="17"/>
        <v>1.04E-5</v>
      </c>
      <c r="D57" s="44">
        <f t="shared" si="18"/>
        <v>5.4599999999999999E-5</v>
      </c>
      <c r="E57" s="44">
        <f t="shared" si="19"/>
        <v>2.3914800000000001E-4</v>
      </c>
      <c r="F57" s="83"/>
      <c r="H57" s="1" t="s">
        <v>41</v>
      </c>
      <c r="I57" s="67">
        <v>3.5300000000000001E-6</v>
      </c>
      <c r="J57" s="30">
        <f t="shared" si="20"/>
        <v>2.4710000000000001E-8</v>
      </c>
      <c r="K57" s="30">
        <f t="shared" si="21"/>
        <v>1.8532499999999999E-5</v>
      </c>
      <c r="L57" s="30">
        <f t="shared" si="22"/>
        <v>8.1172349999999985E-5</v>
      </c>
      <c r="M57" s="22" t="str">
        <f t="shared" si="29"/>
        <v/>
      </c>
      <c r="N57" s="67">
        <v>1.04E-5</v>
      </c>
      <c r="O57" s="30">
        <f t="shared" si="23"/>
        <v>7.2800000000000003E-8</v>
      </c>
      <c r="P57" s="30">
        <f t="shared" ref="P57:P64" si="50">O57*$B$3</f>
        <v>5.4600000000000006E-5</v>
      </c>
      <c r="Q57" s="30">
        <f t="shared" si="25"/>
        <v>2.3914800000000004E-4</v>
      </c>
      <c r="R57" s="22" t="str">
        <f t="shared" si="30"/>
        <v>Match</v>
      </c>
      <c r="S57" s="29" t="s">
        <v>72</v>
      </c>
      <c r="T57" s="3"/>
      <c r="U57" s="30"/>
      <c r="V57" s="30"/>
      <c r="W57" s="22" t="str">
        <f t="shared" si="31"/>
        <v/>
      </c>
    </row>
    <row r="58" spans="1:23" x14ac:dyDescent="0.2">
      <c r="A58" s="15" t="str">
        <f>IF($B$5="4-Stroke Rich-Burn","","Phenol")</f>
        <v>Phenol</v>
      </c>
      <c r="B58" s="62"/>
      <c r="C58" s="63">
        <f t="shared" si="17"/>
        <v>2.4000000000000001E-5</v>
      </c>
      <c r="D58" s="45">
        <f t="shared" si="18"/>
        <v>1.2600000000000003E-4</v>
      </c>
      <c r="E58" s="45">
        <f t="shared" si="19"/>
        <v>5.5188000000000014E-4</v>
      </c>
      <c r="F58" s="83"/>
      <c r="H58" s="1" t="s">
        <v>90</v>
      </c>
      <c r="I58" s="67">
        <v>4.21E-5</v>
      </c>
      <c r="J58" s="30">
        <f t="shared" si="20"/>
        <v>2.9470000000000001E-7</v>
      </c>
      <c r="K58" s="30">
        <f t="shared" si="21"/>
        <v>2.2102500000000002E-4</v>
      </c>
      <c r="L58" s="30">
        <f t="shared" si="22"/>
        <v>9.6808950000000006E-4</v>
      </c>
      <c r="M58" s="22" t="str">
        <f t="shared" si="29"/>
        <v/>
      </c>
      <c r="N58" s="67">
        <v>2.4000000000000001E-5</v>
      </c>
      <c r="O58" s="30">
        <f t="shared" si="23"/>
        <v>1.6800000000000002E-7</v>
      </c>
      <c r="P58" s="30">
        <f t="shared" si="50"/>
        <v>1.2600000000000003E-4</v>
      </c>
      <c r="Q58" s="30">
        <f t="shared" si="25"/>
        <v>5.5188000000000014E-4</v>
      </c>
      <c r="R58" s="22" t="str">
        <f t="shared" si="30"/>
        <v>Match</v>
      </c>
      <c r="S58" s="29" t="s">
        <v>72</v>
      </c>
      <c r="T58" s="3"/>
      <c r="U58" s="30"/>
      <c r="V58" s="30"/>
      <c r="W58" s="22" t="str">
        <f t="shared" si="31"/>
        <v/>
      </c>
    </row>
    <row r="59" spans="1:23" x14ac:dyDescent="0.2">
      <c r="A59" s="16" t="str">
        <f>IF($B$5="4-Stroke Rich-Burn","","Pyrene")</f>
        <v>Pyrene</v>
      </c>
      <c r="B59" s="60"/>
      <c r="C59" s="61">
        <f t="shared" si="17"/>
        <v>1.3599999999999999E-6</v>
      </c>
      <c r="D59" s="44">
        <f t="shared" si="18"/>
        <v>7.1399999999999986E-6</v>
      </c>
      <c r="E59" s="44">
        <f t="shared" si="19"/>
        <v>3.1273199999999997E-5</v>
      </c>
      <c r="F59" s="83"/>
      <c r="H59" s="1" t="s">
        <v>23</v>
      </c>
      <c r="I59" s="67">
        <v>5.8400000000000004E-7</v>
      </c>
      <c r="J59" s="30">
        <f t="shared" si="20"/>
        <v>4.0880000000000008E-9</v>
      </c>
      <c r="K59" s="30">
        <f t="shared" si="21"/>
        <v>3.0660000000000004E-6</v>
      </c>
      <c r="L59" s="30">
        <f t="shared" si="22"/>
        <v>1.3429080000000002E-5</v>
      </c>
      <c r="M59" s="22" t="str">
        <f t="shared" si="29"/>
        <v/>
      </c>
      <c r="N59" s="67">
        <v>1.3599999999999999E-6</v>
      </c>
      <c r="O59" s="30">
        <f t="shared" si="23"/>
        <v>9.5199999999999986E-9</v>
      </c>
      <c r="P59" s="30">
        <f t="shared" si="50"/>
        <v>7.1399999999999986E-6</v>
      </c>
      <c r="Q59" s="30">
        <f t="shared" si="25"/>
        <v>3.1273199999999997E-5</v>
      </c>
      <c r="R59" s="22" t="str">
        <f t="shared" si="30"/>
        <v>Match</v>
      </c>
      <c r="S59" s="29" t="s">
        <v>72</v>
      </c>
      <c r="T59" s="3"/>
      <c r="U59" s="30"/>
      <c r="V59" s="30"/>
      <c r="W59" s="22" t="str">
        <f t="shared" si="31"/>
        <v/>
      </c>
    </row>
    <row r="60" spans="1:23" x14ac:dyDescent="0.2">
      <c r="A60" s="15" t="s">
        <v>57</v>
      </c>
      <c r="B60" s="62"/>
      <c r="C60" s="63">
        <f t="shared" si="17"/>
        <v>2.3600000000000001E-5</v>
      </c>
      <c r="D60" s="45">
        <f t="shared" si="18"/>
        <v>1.239E-4</v>
      </c>
      <c r="E60" s="45">
        <f t="shared" si="19"/>
        <v>5.4268199999999995E-4</v>
      </c>
      <c r="F60" s="83"/>
      <c r="H60" s="1" t="s">
        <v>57</v>
      </c>
      <c r="I60" s="67">
        <v>5.4799999999999997E-5</v>
      </c>
      <c r="J60" s="30">
        <f t="shared" si="20"/>
        <v>3.8360000000000002E-7</v>
      </c>
      <c r="K60" s="30">
        <f t="shared" si="21"/>
        <v>2.877E-4</v>
      </c>
      <c r="L60" s="30">
        <f t="shared" si="22"/>
        <v>1.2601260000000001E-3</v>
      </c>
      <c r="M60" s="22" t="str">
        <f t="shared" si="29"/>
        <v/>
      </c>
      <c r="N60" s="67">
        <v>2.3600000000000001E-5</v>
      </c>
      <c r="O60" s="30">
        <f t="shared" si="23"/>
        <v>1.6520000000000002E-7</v>
      </c>
      <c r="P60" s="30">
        <f t="shared" si="50"/>
        <v>1.2390000000000003E-4</v>
      </c>
      <c r="Q60" s="30">
        <f t="shared" si="25"/>
        <v>5.4268200000000006E-4</v>
      </c>
      <c r="R60" s="22" t="str">
        <f t="shared" si="30"/>
        <v>Match</v>
      </c>
      <c r="S60" s="67">
        <v>1.19E-5</v>
      </c>
      <c r="T60" s="30">
        <f t="shared" ref="T60" si="51">S60*$I$1/1000000</f>
        <v>8.3299999999999998E-8</v>
      </c>
      <c r="U60" s="30">
        <f t="shared" ref="U60" si="52">T60*$B$3</f>
        <v>6.2475000000000001E-5</v>
      </c>
      <c r="V60" s="30">
        <f t="shared" si="28"/>
        <v>2.7364050000000002E-4</v>
      </c>
      <c r="W60" s="22" t="str">
        <f t="shared" si="31"/>
        <v/>
      </c>
    </row>
    <row r="61" spans="1:23" x14ac:dyDescent="0.2">
      <c r="A61" s="16" t="str">
        <f>IF($B$5="4-Stroke Lean-Burn","Tetrachloroethane","")</f>
        <v>Tetrachloroethane</v>
      </c>
      <c r="B61" s="60"/>
      <c r="C61" s="61">
        <f t="shared" si="17"/>
        <v>2.48E-6</v>
      </c>
      <c r="D61" s="44">
        <f t="shared" si="18"/>
        <v>1.3019999999999999E-5</v>
      </c>
      <c r="E61" s="44">
        <f t="shared" si="19"/>
        <v>5.7027599999999996E-5</v>
      </c>
      <c r="F61" s="83"/>
      <c r="H61" s="1" t="s">
        <v>91</v>
      </c>
      <c r="I61" s="29" t="s">
        <v>72</v>
      </c>
      <c r="J61" s="30"/>
      <c r="K61" s="30"/>
      <c r="L61" s="30"/>
      <c r="M61" s="22" t="str">
        <f t="shared" si="29"/>
        <v/>
      </c>
      <c r="N61" s="67">
        <v>2.48E-6</v>
      </c>
      <c r="O61" s="30">
        <f t="shared" si="23"/>
        <v>1.7360000000000001E-8</v>
      </c>
      <c r="P61" s="30">
        <f t="shared" si="50"/>
        <v>1.3020000000000001E-5</v>
      </c>
      <c r="Q61" s="30">
        <f t="shared" si="25"/>
        <v>5.7027600000000003E-5</v>
      </c>
      <c r="R61" s="22" t="str">
        <f t="shared" si="30"/>
        <v>Match</v>
      </c>
      <c r="S61" s="24" t="s">
        <v>72</v>
      </c>
      <c r="T61" s="3"/>
      <c r="U61" s="30"/>
      <c r="V61" s="30"/>
      <c r="W61" s="22" t="str">
        <f t="shared" si="31"/>
        <v/>
      </c>
    </row>
    <row r="62" spans="1:23" x14ac:dyDescent="0.2">
      <c r="A62" s="15" t="s">
        <v>24</v>
      </c>
      <c r="B62" s="62"/>
      <c r="C62" s="63">
        <f t="shared" si="17"/>
        <v>4.08E-4</v>
      </c>
      <c r="D62" s="45">
        <f t="shared" si="18"/>
        <v>2.1419999999999998E-3</v>
      </c>
      <c r="E62" s="45">
        <f t="shared" si="19"/>
        <v>9.38196E-3</v>
      </c>
      <c r="F62" s="83"/>
      <c r="H62" s="1" t="s">
        <v>24</v>
      </c>
      <c r="I62" s="67">
        <v>9.6299999999999999E-4</v>
      </c>
      <c r="J62" s="30">
        <f t="shared" si="20"/>
        <v>6.7409999999999995E-6</v>
      </c>
      <c r="K62" s="30">
        <f t="shared" si="21"/>
        <v>5.0557499999999995E-3</v>
      </c>
      <c r="L62" s="30">
        <f t="shared" si="22"/>
        <v>2.2144184999999997E-2</v>
      </c>
      <c r="M62" s="22" t="str">
        <f t="shared" si="29"/>
        <v/>
      </c>
      <c r="N62" s="67">
        <v>4.08E-4</v>
      </c>
      <c r="O62" s="30">
        <f t="shared" si="23"/>
        <v>2.8559999999999998E-6</v>
      </c>
      <c r="P62" s="30">
        <f t="shared" si="50"/>
        <v>2.1419999999999998E-3</v>
      </c>
      <c r="Q62" s="30">
        <f t="shared" si="25"/>
        <v>9.38196E-3</v>
      </c>
      <c r="R62" s="22" t="str">
        <f t="shared" si="30"/>
        <v>Match</v>
      </c>
      <c r="S62" s="67">
        <v>5.5800000000000001E-4</v>
      </c>
      <c r="T62" s="30">
        <f t="shared" ref="T62:T64" si="53">S62*$I$1/1000000</f>
        <v>3.9060000000000004E-6</v>
      </c>
      <c r="U62" s="30">
        <f t="shared" ref="U62:U64" si="54">T62*$B$3</f>
        <v>2.9295000000000002E-3</v>
      </c>
      <c r="V62" s="30">
        <f t="shared" si="28"/>
        <v>1.2831210000000001E-2</v>
      </c>
      <c r="W62" s="22" t="str">
        <f t="shared" si="31"/>
        <v/>
      </c>
    </row>
    <row r="63" spans="1:23" x14ac:dyDescent="0.2">
      <c r="A63" s="16" t="s">
        <v>58</v>
      </c>
      <c r="B63" s="60"/>
      <c r="C63" s="61">
        <f t="shared" si="17"/>
        <v>1.49E-5</v>
      </c>
      <c r="D63" s="44">
        <f t="shared" si="18"/>
        <v>7.8224999999999991E-5</v>
      </c>
      <c r="E63" s="44">
        <f t="shared" si="19"/>
        <v>3.4262549999999995E-4</v>
      </c>
      <c r="F63" s="83"/>
      <c r="H63" s="1" t="s">
        <v>58</v>
      </c>
      <c r="I63" s="67">
        <v>2.4700000000000001E-5</v>
      </c>
      <c r="J63" s="30">
        <f t="shared" si="20"/>
        <v>1.7289999999999999E-7</v>
      </c>
      <c r="K63" s="30">
        <f t="shared" si="21"/>
        <v>1.2967499999999999E-4</v>
      </c>
      <c r="L63" s="30">
        <f t="shared" si="22"/>
        <v>5.6797650000000005E-4</v>
      </c>
      <c r="M63" s="22" t="str">
        <f t="shared" si="29"/>
        <v/>
      </c>
      <c r="N63" s="67">
        <v>1.49E-5</v>
      </c>
      <c r="O63" s="30">
        <f t="shared" si="23"/>
        <v>1.043E-7</v>
      </c>
      <c r="P63" s="30">
        <f t="shared" si="50"/>
        <v>7.8225000000000004E-5</v>
      </c>
      <c r="Q63" s="30">
        <f t="shared" si="25"/>
        <v>3.426255E-4</v>
      </c>
      <c r="R63" s="22" t="str">
        <f t="shared" si="30"/>
        <v>Match</v>
      </c>
      <c r="S63" s="67">
        <v>7.1799999999999999E-6</v>
      </c>
      <c r="T63" s="30">
        <f t="shared" si="53"/>
        <v>5.0260000000000001E-8</v>
      </c>
      <c r="U63" s="30">
        <f t="shared" si="54"/>
        <v>3.7695000000000004E-5</v>
      </c>
      <c r="V63" s="30">
        <f t="shared" si="28"/>
        <v>1.6510410000000004E-4</v>
      </c>
      <c r="W63" s="22" t="str">
        <f t="shared" si="31"/>
        <v/>
      </c>
    </row>
    <row r="64" spans="1:23" ht="13.5" thickBot="1" x14ac:dyDescent="0.25">
      <c r="A64" s="46" t="s">
        <v>59</v>
      </c>
      <c r="B64" s="64"/>
      <c r="C64" s="65">
        <f t="shared" si="17"/>
        <v>1.84E-4</v>
      </c>
      <c r="D64" s="47">
        <f t="shared" si="18"/>
        <v>9.6600000000000006E-4</v>
      </c>
      <c r="E64" s="47">
        <f t="shared" si="19"/>
        <v>4.2310800000000008E-3</v>
      </c>
      <c r="F64" s="84"/>
      <c r="H64" s="1" t="s">
        <v>59</v>
      </c>
      <c r="I64" s="67">
        <v>2.6800000000000001E-4</v>
      </c>
      <c r="J64" s="30">
        <f t="shared" si="20"/>
        <v>1.8760000000000001E-6</v>
      </c>
      <c r="K64" s="30">
        <f t="shared" si="21"/>
        <v>1.407E-3</v>
      </c>
      <c r="L64" s="30">
        <f t="shared" si="22"/>
        <v>6.1626599999999995E-3</v>
      </c>
      <c r="M64" s="22" t="str">
        <f t="shared" si="29"/>
        <v/>
      </c>
      <c r="N64" s="67">
        <v>1.84E-4</v>
      </c>
      <c r="O64" s="30">
        <f t="shared" si="23"/>
        <v>1.288E-6</v>
      </c>
      <c r="P64" s="30">
        <f t="shared" si="50"/>
        <v>9.6599999999999995E-4</v>
      </c>
      <c r="Q64" s="30">
        <f t="shared" si="25"/>
        <v>4.2310799999999999E-3</v>
      </c>
      <c r="R64" s="22" t="str">
        <f t="shared" si="30"/>
        <v>Match</v>
      </c>
      <c r="S64" s="67">
        <v>1.95E-4</v>
      </c>
      <c r="T64" s="30">
        <f t="shared" si="53"/>
        <v>1.3650000000000001E-6</v>
      </c>
      <c r="U64" s="30">
        <f t="shared" si="54"/>
        <v>1.0237500000000001E-3</v>
      </c>
      <c r="V64" s="30">
        <f t="shared" si="28"/>
        <v>4.4840250000000009E-3</v>
      </c>
      <c r="W64" s="22" t="str">
        <f t="shared" si="31"/>
        <v/>
      </c>
    </row>
    <row r="65" spans="8:23" x14ac:dyDescent="0.2">
      <c r="I65" s="29"/>
      <c r="J65" s="3"/>
      <c r="K65" s="3"/>
      <c r="L65" s="3"/>
      <c r="M65" s="28"/>
      <c r="N65" s="29"/>
      <c r="O65" s="3"/>
      <c r="P65" s="3"/>
      <c r="Q65" s="3"/>
      <c r="R65" s="28"/>
      <c r="S65" s="29"/>
      <c r="T65" s="3"/>
      <c r="U65" s="3"/>
      <c r="V65" s="3"/>
      <c r="W65" s="28"/>
    </row>
    <row r="66" spans="8:23" x14ac:dyDescent="0.2">
      <c r="H66" s="18" t="s">
        <v>68</v>
      </c>
      <c r="I66" s="29"/>
      <c r="J66" s="3"/>
      <c r="K66" s="31">
        <f>SUM(K22:K64)</f>
        <v>0.41755939338749998</v>
      </c>
      <c r="L66" s="31">
        <f>SUM(L22:L64)</f>
        <v>1.8289101430372499</v>
      </c>
      <c r="M66" s="22" t="str">
        <f>IF($E14=L66,"Match","")</f>
        <v/>
      </c>
      <c r="N66" s="29"/>
      <c r="O66" s="3"/>
      <c r="P66" s="31">
        <f t="shared" ref="P66:Q66" si="55">SUM(P22:P64)</f>
        <v>0.37902526200000008</v>
      </c>
      <c r="Q66" s="31">
        <f t="shared" si="55"/>
        <v>1.66013064756</v>
      </c>
      <c r="R66" s="22" t="str">
        <f>IF($E14=Q66,"Match","")</f>
        <v>Match</v>
      </c>
      <c r="S66" s="29"/>
      <c r="T66" s="3"/>
      <c r="U66" s="31">
        <f t="shared" ref="U66:V66" si="56">SUM(U22:U64)</f>
        <v>0.17019492</v>
      </c>
      <c r="V66" s="31">
        <f t="shared" si="56"/>
        <v>0.74545374959999999</v>
      </c>
      <c r="W66" s="22" t="str">
        <f>IF($E14=V66,"Match","")</f>
        <v/>
      </c>
    </row>
    <row r="80" spans="8:23" ht="12" customHeight="1" x14ac:dyDescent="0.2"/>
  </sheetData>
  <sheetProtection password="ED7B" sheet="1" objects="1" scenarios="1" selectLockedCells="1"/>
  <protectedRanges>
    <protectedRange sqref="B3:B5 B8:B11 D10:D11 B12:D13" name="Input Cells"/>
  </protectedRanges>
  <mergeCells count="10">
    <mergeCell ref="B21:C21"/>
    <mergeCell ref="S5:W5"/>
    <mergeCell ref="A1:F1"/>
    <mergeCell ref="F17:F19"/>
    <mergeCell ref="F22:F64"/>
    <mergeCell ref="F8:F13"/>
    <mergeCell ref="B5:C5"/>
    <mergeCell ref="I5:M5"/>
    <mergeCell ref="N5:R5"/>
    <mergeCell ref="D3:E5"/>
  </mergeCells>
  <dataValidations disablePrompts="1" count="2">
    <dataValidation type="list" allowBlank="1" showInputMessage="1" showErrorMessage="1" sqref="B5">
      <formula1>"2-Stroke Lean-Burn, 4-Stroke Lean-Burn, 4-Stroke Rich-Burn"</formula1>
    </dataValidation>
    <dataValidation type="decimal" operator="lessThanOrEqual" allowBlank="1" showInputMessage="1" showErrorMessage="1" sqref="B4">
      <formula1>8760</formula1>
    </dataValidation>
  </dataValidations>
  <pageMargins left="0.7" right="0.7" top="0.75" bottom="0.75" header="0.3" footer="0.3"/>
  <pageSetup scale="74" orientation="portrait" r:id="rId1"/>
  <headerFooter>
    <oddHeader>&amp;L&amp;G</oddHeader>
    <oddFooter>&amp;CPage &amp;P of &amp;N&amp;RVersion 1.1
February 21,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Engine NG</vt:lpstr>
      <vt:lpstr>'Engine NG'!Print_Area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keywords>Emission Calculations</cp:keywords>
  <cp:lastModifiedBy>Alan Humpherys</cp:lastModifiedBy>
  <cp:lastPrinted>2018-11-29T18:39:53Z</cp:lastPrinted>
  <dcterms:created xsi:type="dcterms:W3CDTF">2018-06-18T20:27:23Z</dcterms:created>
  <dcterms:modified xsi:type="dcterms:W3CDTF">2019-02-21T23:07:12Z</dcterms:modified>
</cp:coreProperties>
</file>