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Engine Diesel" sheetId="9" r:id="rId1"/>
  </sheets>
  <definedNames>
    <definedName name="_xlnm.Print_Area" localSheetId="0">'Engine Diesel'!$A$1:$F$44</definedName>
  </definedNames>
  <calcPr calcId="145621"/>
</workbook>
</file>

<file path=xl/calcChain.xml><?xml version="1.0" encoding="utf-8"?>
<calcChain xmlns="http://schemas.openxmlformats.org/spreadsheetml/2006/main">
  <c r="C3" i="9" l="1"/>
  <c r="A25" i="9" l="1"/>
  <c r="C25" i="9"/>
  <c r="C5" i="9"/>
  <c r="O15" i="9" l="1"/>
  <c r="O14" i="9"/>
  <c r="C13" i="9" l="1"/>
  <c r="C8" i="9"/>
  <c r="C9" i="9"/>
  <c r="C10" i="9"/>
  <c r="C11" i="9"/>
  <c r="C17" i="9"/>
  <c r="C18" i="9"/>
  <c r="D18" i="9" s="1"/>
  <c r="D25" i="9"/>
  <c r="C44" i="9"/>
  <c r="D44" i="9" s="1"/>
  <c r="C43" i="9"/>
  <c r="D43" i="9" s="1"/>
  <c r="C42" i="9"/>
  <c r="D42" i="9" s="1"/>
  <c r="C41" i="9"/>
  <c r="D41" i="9" s="1"/>
  <c r="C40" i="9"/>
  <c r="D40" i="9" s="1"/>
  <c r="C39" i="9"/>
  <c r="D39" i="9" s="1"/>
  <c r="C38" i="9"/>
  <c r="D38" i="9" s="1"/>
  <c r="C37" i="9"/>
  <c r="D37" i="9" s="1"/>
  <c r="C36" i="9"/>
  <c r="D36" i="9" s="1"/>
  <c r="C35" i="9"/>
  <c r="D35" i="9" s="1"/>
  <c r="C34" i="9"/>
  <c r="D34" i="9" s="1"/>
  <c r="C33" i="9"/>
  <c r="D3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4" i="9"/>
  <c r="D24" i="9" s="1"/>
  <c r="C23" i="9"/>
  <c r="D23" i="9" s="1"/>
  <c r="C22" i="9"/>
  <c r="D22" i="9" s="1"/>
  <c r="P15" i="9"/>
  <c r="Q15" i="9" s="1"/>
  <c r="P14" i="9"/>
  <c r="Q14" i="9" s="1"/>
  <c r="P13" i="9"/>
  <c r="Q13" i="9" s="1"/>
  <c r="P11" i="9"/>
  <c r="Q11" i="9" s="1"/>
  <c r="P10" i="9"/>
  <c r="Q10" i="9" s="1"/>
  <c r="P8" i="9"/>
  <c r="Q8" i="9" s="1"/>
  <c r="P7" i="9"/>
  <c r="Q7" i="9" s="1"/>
  <c r="P6" i="9"/>
  <c r="Q6" i="9" s="1"/>
  <c r="E18" i="9" l="1"/>
  <c r="J13" i="9"/>
  <c r="K13" i="9" s="1"/>
  <c r="J11" i="9"/>
  <c r="K11" i="9" s="1"/>
  <c r="J10" i="9"/>
  <c r="K10" i="9" s="1"/>
  <c r="J9" i="9"/>
  <c r="K9" i="9" s="1"/>
  <c r="J8" i="9"/>
  <c r="K8" i="9" s="1"/>
  <c r="J6" i="9"/>
  <c r="K6" i="9" s="1"/>
  <c r="O9" i="9"/>
  <c r="O44" i="9"/>
  <c r="P44" i="9" s="1"/>
  <c r="Q44" i="9" s="1"/>
  <c r="O43" i="9"/>
  <c r="P43" i="9" s="1"/>
  <c r="Q43" i="9" s="1"/>
  <c r="O42" i="9"/>
  <c r="P42" i="9" s="1"/>
  <c r="Q42" i="9" s="1"/>
  <c r="O41" i="9"/>
  <c r="P41" i="9" s="1"/>
  <c r="Q41" i="9" s="1"/>
  <c r="O40" i="9"/>
  <c r="P40" i="9" s="1"/>
  <c r="Q40" i="9" s="1"/>
  <c r="O39" i="9"/>
  <c r="P39" i="9" s="1"/>
  <c r="Q39" i="9" s="1"/>
  <c r="O38" i="9"/>
  <c r="P38" i="9" s="1"/>
  <c r="Q38" i="9" s="1"/>
  <c r="O37" i="9"/>
  <c r="P37" i="9" s="1"/>
  <c r="Q37" i="9" s="1"/>
  <c r="O36" i="9"/>
  <c r="P36" i="9" s="1"/>
  <c r="Q36" i="9" s="1"/>
  <c r="O35" i="9"/>
  <c r="P35" i="9" s="1"/>
  <c r="Q35" i="9" s="1"/>
  <c r="O34" i="9"/>
  <c r="P34" i="9" s="1"/>
  <c r="Q34" i="9" s="1"/>
  <c r="O33" i="9"/>
  <c r="P33" i="9" s="1"/>
  <c r="Q33" i="9" s="1"/>
  <c r="O32" i="9"/>
  <c r="P32" i="9" s="1"/>
  <c r="Q32" i="9" s="1"/>
  <c r="O31" i="9"/>
  <c r="P31" i="9" s="1"/>
  <c r="Q31" i="9" s="1"/>
  <c r="O30" i="9"/>
  <c r="P30" i="9" s="1"/>
  <c r="Q30" i="9" s="1"/>
  <c r="O29" i="9"/>
  <c r="P29" i="9" s="1"/>
  <c r="Q29" i="9" s="1"/>
  <c r="O28" i="9"/>
  <c r="P28" i="9" s="1"/>
  <c r="Q28" i="9" s="1"/>
  <c r="O27" i="9"/>
  <c r="P27" i="9" s="1"/>
  <c r="Q27" i="9" s="1"/>
  <c r="O26" i="9"/>
  <c r="P26" i="9" s="1"/>
  <c r="Q26" i="9" s="1"/>
  <c r="O24" i="9"/>
  <c r="P24" i="9" s="1"/>
  <c r="Q24" i="9" s="1"/>
  <c r="O23" i="9"/>
  <c r="P23" i="9" s="1"/>
  <c r="Q23" i="9" s="1"/>
  <c r="O22" i="9"/>
  <c r="P22" i="9" s="1"/>
  <c r="Q22" i="9" s="1"/>
  <c r="J44" i="9"/>
  <c r="K44" i="9" s="1"/>
  <c r="L44" i="9" s="1"/>
  <c r="J43" i="9"/>
  <c r="K43" i="9" s="1"/>
  <c r="L43" i="9" s="1"/>
  <c r="J42" i="9"/>
  <c r="K42" i="9" s="1"/>
  <c r="L42" i="9" s="1"/>
  <c r="J41" i="9"/>
  <c r="K41" i="9" s="1"/>
  <c r="L41" i="9" s="1"/>
  <c r="J40" i="9"/>
  <c r="K40" i="9" s="1"/>
  <c r="L40" i="9" s="1"/>
  <c r="J39" i="9"/>
  <c r="K39" i="9" s="1"/>
  <c r="L39" i="9" s="1"/>
  <c r="J38" i="9"/>
  <c r="K38" i="9" s="1"/>
  <c r="L38" i="9" s="1"/>
  <c r="J37" i="9"/>
  <c r="K37" i="9" s="1"/>
  <c r="L37" i="9" s="1"/>
  <c r="J36" i="9"/>
  <c r="K36" i="9" s="1"/>
  <c r="L36" i="9" s="1"/>
  <c r="J35" i="9"/>
  <c r="K35" i="9" s="1"/>
  <c r="L35" i="9" s="1"/>
  <c r="J34" i="9"/>
  <c r="K34" i="9" s="1"/>
  <c r="L34" i="9" s="1"/>
  <c r="J33" i="9"/>
  <c r="K33" i="9" s="1"/>
  <c r="L33" i="9" s="1"/>
  <c r="J32" i="9"/>
  <c r="K32" i="9" s="1"/>
  <c r="L32" i="9" s="1"/>
  <c r="J31" i="9"/>
  <c r="K31" i="9" s="1"/>
  <c r="L31" i="9" s="1"/>
  <c r="J30" i="9"/>
  <c r="K30" i="9" s="1"/>
  <c r="L30" i="9" s="1"/>
  <c r="J29" i="9"/>
  <c r="K29" i="9" s="1"/>
  <c r="L29" i="9" s="1"/>
  <c r="J28" i="9"/>
  <c r="K28" i="9" s="1"/>
  <c r="L28" i="9" s="1"/>
  <c r="J27" i="9"/>
  <c r="K27" i="9" s="1"/>
  <c r="L27" i="9" s="1"/>
  <c r="J26" i="9"/>
  <c r="K26" i="9" s="1"/>
  <c r="L26" i="9" s="1"/>
  <c r="J25" i="9"/>
  <c r="K25" i="9" s="1"/>
  <c r="L25" i="9" s="1"/>
  <c r="J24" i="9"/>
  <c r="K24" i="9" s="1"/>
  <c r="L24" i="9" s="1"/>
  <c r="J23" i="9"/>
  <c r="K23" i="9" s="1"/>
  <c r="L23" i="9" s="1"/>
  <c r="J22" i="9"/>
  <c r="K22" i="9" s="1"/>
  <c r="L22" i="9" s="1"/>
  <c r="I14" i="9"/>
  <c r="J14" i="9" l="1"/>
  <c r="K14" i="9" s="1"/>
  <c r="C12" i="9"/>
  <c r="L15" i="9"/>
  <c r="R15" i="9"/>
  <c r="P9" i="9"/>
  <c r="Q9" i="9" s="1"/>
  <c r="D12" i="9" l="1"/>
  <c r="E12" i="9" s="1"/>
  <c r="D11" i="9"/>
  <c r="E11" i="9" s="1"/>
  <c r="D10" i="9"/>
  <c r="E10" i="9" s="1"/>
  <c r="D9" i="9"/>
  <c r="E9" i="9" s="1"/>
  <c r="D8" i="9"/>
  <c r="E8" i="9" s="1"/>
  <c r="E22" i="9"/>
  <c r="D17" i="9"/>
  <c r="E19" i="9" s="1"/>
  <c r="E25" i="9"/>
  <c r="E32" i="9"/>
  <c r="E35" i="9"/>
  <c r="E38" i="9"/>
  <c r="E43" i="9"/>
  <c r="E44" i="9"/>
  <c r="E42" i="9"/>
  <c r="E41" i="9"/>
  <c r="E40" i="9"/>
  <c r="E39" i="9"/>
  <c r="E37" i="9"/>
  <c r="E36" i="9"/>
  <c r="E34" i="9"/>
  <c r="E33" i="9"/>
  <c r="E31" i="9"/>
  <c r="E30" i="9"/>
  <c r="E29" i="9"/>
  <c r="E28" i="9"/>
  <c r="E27" i="9"/>
  <c r="E26" i="9"/>
  <c r="E24" i="9"/>
  <c r="E23" i="9"/>
  <c r="D13" i="9"/>
  <c r="E13" i="9" s="1"/>
  <c r="L7" i="9" l="1"/>
  <c r="R7" i="9"/>
  <c r="L6" i="9"/>
  <c r="R6" i="9"/>
  <c r="L14" i="9"/>
  <c r="R14" i="9"/>
  <c r="L8" i="9"/>
  <c r="R8" i="9"/>
  <c r="R9" i="9"/>
  <c r="L9" i="9"/>
  <c r="L10" i="9"/>
  <c r="R10" i="9"/>
  <c r="E17" i="9"/>
  <c r="M27" i="9"/>
  <c r="R27" i="9"/>
  <c r="M37" i="9"/>
  <c r="R37" i="9"/>
  <c r="M42" i="9"/>
  <c r="R42" i="9"/>
  <c r="M35" i="9"/>
  <c r="R35" i="9"/>
  <c r="M22" i="9"/>
  <c r="R22" i="9"/>
  <c r="M23" i="9"/>
  <c r="R23" i="9"/>
  <c r="M28" i="9"/>
  <c r="R28" i="9"/>
  <c r="M33" i="9"/>
  <c r="R33" i="9"/>
  <c r="M39" i="9"/>
  <c r="R39" i="9"/>
  <c r="M44" i="9"/>
  <c r="R44" i="9"/>
  <c r="M32" i="9"/>
  <c r="R32" i="9"/>
  <c r="M24" i="9"/>
  <c r="R24" i="9"/>
  <c r="M29" i="9"/>
  <c r="R29" i="9"/>
  <c r="M34" i="9"/>
  <c r="R34" i="9"/>
  <c r="M40" i="9"/>
  <c r="R40" i="9"/>
  <c r="M43" i="9"/>
  <c r="R43" i="9"/>
  <c r="M25" i="9"/>
  <c r="R25" i="9"/>
  <c r="M26" i="9"/>
  <c r="R26" i="9"/>
  <c r="M30" i="9"/>
  <c r="R30" i="9"/>
  <c r="M36" i="9"/>
  <c r="R36" i="9"/>
  <c r="M41" i="9"/>
  <c r="R41" i="9"/>
  <c r="M38" i="9"/>
  <c r="R38" i="9"/>
  <c r="M31" i="9"/>
  <c r="R31" i="9"/>
  <c r="D14" i="9"/>
  <c r="E14" i="9" s="1"/>
  <c r="L11" i="9" l="1"/>
  <c r="R11" i="9"/>
</calcChain>
</file>

<file path=xl/sharedStrings.xml><?xml version="1.0" encoding="utf-8"?>
<sst xmlns="http://schemas.openxmlformats.org/spreadsheetml/2006/main" count="128" uniqueCount="84">
  <si>
    <t>Operational Hours</t>
  </si>
  <si>
    <t>hours/year</t>
  </si>
  <si>
    <t>Rating</t>
  </si>
  <si>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</si>
  <si>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</si>
  <si>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</si>
  <si>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</si>
  <si>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</si>
  <si>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VOC</t>
  </si>
  <si>
    <t>Acenaphthene</t>
  </si>
  <si>
    <t>Acenaphthylene</t>
  </si>
  <si>
    <t>Anthracene</t>
  </si>
  <si>
    <t>Benz(a)anthracene</t>
  </si>
  <si>
    <t>Benzene</t>
  </si>
  <si>
    <t>Benzo(a)pyrene</t>
  </si>
  <si>
    <t>Benzo(b)fluoranthene</t>
  </si>
  <si>
    <t>Benzo(k)fluoranthene</t>
  </si>
  <si>
    <t>Chrysene</t>
  </si>
  <si>
    <t>Fluoranthene</t>
  </si>
  <si>
    <t>Fluorene</t>
  </si>
  <si>
    <t>Formaldehyde</t>
  </si>
  <si>
    <t>Indeno(1,2,3-cd)pyrene</t>
  </si>
  <si>
    <t>Naphthalene</t>
  </si>
  <si>
    <t>Pyrene</t>
  </si>
  <si>
    <t>Toluene</t>
  </si>
  <si>
    <t>Sulfur Content</t>
  </si>
  <si>
    <t>Criteria Pollutant</t>
  </si>
  <si>
    <t>Equipment Details</t>
  </si>
  <si>
    <t>Reference</t>
  </si>
  <si>
    <t>Global Warming Potential</t>
  </si>
  <si>
    <t>Methane (mass basis)</t>
  </si>
  <si>
    <t>Emission
Rate
(lbs/hr)</t>
  </si>
  <si>
    <t>Emission
Total
(tons/year)</t>
  </si>
  <si>
    <t>Green House Gas Pollutant</t>
  </si>
  <si>
    <t>HAP</t>
  </si>
  <si>
    <t>Hazardous Air Pollutant</t>
  </si>
  <si>
    <t>See Below</t>
  </si>
  <si>
    <t>Emission Factor
(lb/hp-hr)</t>
  </si>
  <si>
    <t>Emission Factor
(lb/MMBtu)</t>
  </si>
  <si>
    <t>Diesel-Fired Engines</t>
  </si>
  <si>
    <t>Emission
Standards
(g/hp-hr)</t>
  </si>
  <si>
    <t>AP-42 Table 3.4-1</t>
  </si>
  <si>
    <t>Xylenes</t>
  </si>
  <si>
    <t>Acetaldehyde</t>
  </si>
  <si>
    <t>Acrolein</t>
  </si>
  <si>
    <t>Phenanthrene</t>
  </si>
  <si>
    <t>Dibenz(a,h)anthracene</t>
  </si>
  <si>
    <t>Benzo(g,h,l)perylene</t>
  </si>
  <si>
    <t>1,3-Butadiene</t>
  </si>
  <si>
    <t>AP-42 Table 3.3-1
&amp; Table 3.4-1</t>
  </si>
  <si>
    <t>Manufacturer Data,
AP-42 Table 3.3-1,
&amp; Table 3.4-1</t>
  </si>
  <si>
    <t>lb/hr</t>
  </si>
  <si>
    <t>Ton/year</t>
  </si>
  <si>
    <t>CO2</t>
  </si>
  <si>
    <t>SO2</t>
  </si>
  <si>
    <t>Methane</t>
  </si>
  <si>
    <t>TOC</t>
  </si>
  <si>
    <t>Check</t>
  </si>
  <si>
    <t>EF x S</t>
  </si>
  <si>
    <t>PM10</t>
  </si>
  <si>
    <t>&lt;600 hp</t>
  </si>
  <si>
    <t>lb/hp-hr</t>
  </si>
  <si>
    <t>BTU/hp-hr</t>
  </si>
  <si>
    <t>Used&gt;600 hp to allow for sulfur content of fuel</t>
  </si>
  <si>
    <t>Aldehydes</t>
  </si>
  <si>
    <t>Exhaust</t>
  </si>
  <si>
    <t>Evaporative</t>
  </si>
  <si>
    <t>Crankcase</t>
  </si>
  <si>
    <t>Refueling</t>
  </si>
  <si>
    <t>Table 3.3-2
&lt;600 hp
(lb/MMBtu)</t>
  </si>
  <si>
    <t>Table 3.4-3
&gt;600 hp
(lb/MMBtu)</t>
  </si>
  <si>
    <t>Nox - Uncontrolled</t>
  </si>
  <si>
    <t>Nox - Controlled</t>
  </si>
  <si>
    <t>Not used, included in HAP below.</t>
  </si>
  <si>
    <t>for engines &gt;600 hp, TOC is 91% VOC &amp; 9% methane</t>
  </si>
  <si>
    <t>Table 3.3-1</t>
  </si>
  <si>
    <t>&gt;600 hp</t>
  </si>
  <si>
    <t>Table 3.4-1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</si>
  <si>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(mass basis)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</si>
  <si>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</si>
  <si>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Table 3.3-1 does not allow for a sulfur content.</t>
  </si>
  <si>
    <t>To be more representatvie, Table 3.4-1 was used for all engine sizes.</t>
  </si>
  <si>
    <t>Emergency Engines should equal 100 hours of operation per year</t>
  </si>
  <si>
    <t>AP-42 Table 3.3-2,
Table 3.4-3, &amp;
Table 3.4-4
(1,3-Butadiene will not popluate if the engine size is greater than 600 hp.  AP-42 does not list 1,3-Butadiene for engines greater than 600 hp.)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</si>
</sst>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/>
    <xf numFmtId="0" fontId="5" fillId="0" borderId="0" xfId="1" applyFont="1" applyFill="1" applyBorder="1"/>
    <xf numFmtId="0" fontId="0" fillId="0" borderId="8" xfId="1" applyFont="1" applyFill="1" applyBorder="1"/>
    <xf numFmtId="0" fontId="0" fillId="2" borderId="11" xfId="1" applyFont="1" applyFill="1" applyBorder="1"/>
    <xf numFmtId="0" fontId="2" fillId="0" borderId="14" xfId="1" applyBorder="1"/>
    <xf numFmtId="0" fontId="0" fillId="0" borderId="11" xfId="1" applyFont="1" applyFill="1" applyBorder="1"/>
    <xf numFmtId="0" fontId="0" fillId="0" borderId="7" xfId="1" applyFont="1" applyFill="1" applyBorder="1" applyAlignment="1">
      <alignment horizontal="center" vertical="center" wrapText="1"/>
    </xf>
    <xf numFmtId="0" fontId="3" fillId="4" borderId="22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9" xfId="0" applyFont="1" applyFill="1" applyBorder="1" applyAlignment="1">
      <alignment wrapText="1"/>
    </xf>
    <xf numFmtId="0" fontId="3" fillId="4" borderId="20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11" xfId="1" applyFont="1" applyFill="1" applyBorder="1" applyAlignment="1">
      <alignment horizontal="left"/>
    </xf>
    <xf numFmtId="0" fontId="0" fillId="2" borderId="11" xfId="1" applyFont="1" applyFill="1" applyBorder="1" applyAlignment="1">
      <alignment horizontal="left"/>
    </xf>
    <xf numFmtId="0" fontId="0" fillId="0" borderId="8" xfId="1" applyFont="1" applyFill="1" applyBorder="1" applyAlignment="1">
      <alignment horizontal="left"/>
    </xf>
    <xf numFmtId="0" fontId="0" fillId="0" borderId="6" xfId="1" applyFont="1" applyFill="1" applyBorder="1"/>
    <xf numFmtId="0" fontId="0" fillId="0" borderId="0" xfId="1" applyFont="1"/>
    <xf numFmtId="2" fontId="2" fillId="0" borderId="0" xfId="1" applyNumberFormat="1"/>
    <xf numFmtId="3" fontId="2" fillId="0" borderId="0" xfId="1" applyNumberFormat="1"/>
    <xf numFmtId="0" fontId="2" fillId="0" borderId="0" xfId="1" applyFill="1"/>
    <xf numFmtId="11" fontId="2" fillId="0" borderId="0" xfId="1" applyNumberFormat="1"/>
    <xf numFmtId="0" fontId="3" fillId="0" borderId="14" xfId="1" applyFont="1" applyBorder="1"/>
    <xf numFmtId="0" fontId="3" fillId="0" borderId="14" xfId="1" applyFont="1" applyFill="1" applyBorder="1"/>
    <xf numFmtId="0" fontId="0" fillId="0" borderId="0" xfId="1" applyFont="1" applyFill="1" applyBorder="1"/>
    <xf numFmtId="0" fontId="0" fillId="0" borderId="14" xfId="1" applyFont="1" applyBorder="1"/>
    <xf numFmtId="3" fontId="2" fillId="3" borderId="0" xfId="1" applyNumberFormat="1" applyFill="1"/>
    <xf numFmtId="0" fontId="3" fillId="0" borderId="0" xfId="1" applyFont="1" applyAlignment="1">
      <alignment wrapText="1"/>
    </xf>
    <xf numFmtId="0" fontId="3" fillId="0" borderId="14" xfId="1" applyFont="1" applyBorder="1" applyAlignment="1">
      <alignment wrapText="1"/>
    </xf>
    <xf numFmtId="2" fontId="0" fillId="0" borderId="0" xfId="1" applyNumberFormat="1" applyFont="1"/>
    <xf numFmtId="0" fontId="0" fillId="0" borderId="0" xfId="1" applyFont="1" applyBorder="1"/>
    <xf numFmtId="0" fontId="0" fillId="0" borderId="14" xfId="1" applyFont="1" applyFill="1" applyBorder="1"/>
    <xf numFmtId="0" fontId="0" fillId="0" borderId="12" xfId="1" applyFont="1" applyFill="1" applyBorder="1" applyAlignment="1">
      <alignment horizontal="center" vertical="center" wrapText="1"/>
    </xf>
    <xf numFmtId="0" fontId="7" fillId="0" borderId="17" xfId="3" applyFont="1" applyBorder="1"/>
    <xf numFmtId="0" fontId="7" fillId="0" borderId="16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0" fontId="0" fillId="0" borderId="1" xfId="1" applyFont="1" applyFill="1" applyBorder="1"/>
    <xf numFmtId="2" fontId="0" fillId="0" borderId="1" xfId="1" applyNumberFormat="1" applyFont="1" applyFill="1" applyBorder="1"/>
    <xf numFmtId="164" fontId="0" fillId="0" borderId="0" xfId="1" applyNumberFormat="1" applyFont="1" applyFill="1" applyBorder="1"/>
    <xf numFmtId="0" fontId="0" fillId="0" borderId="3" xfId="1" applyNumberFormat="1" applyFont="1" applyFill="1" applyBorder="1"/>
    <xf numFmtId="3" fontId="0" fillId="0" borderId="3" xfId="1" applyNumberFormat="1" applyFont="1" applyFill="1" applyBorder="1"/>
    <xf numFmtId="0" fontId="0" fillId="2" borderId="1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0" fontId="7" fillId="0" borderId="24" xfId="3" applyFont="1" applyBorder="1"/>
    <xf numFmtId="0" fontId="0" fillId="0" borderId="2" xfId="1" applyFont="1" applyFill="1" applyBorder="1"/>
    <xf numFmtId="2" fontId="0" fillId="0" borderId="2" xfId="1" applyNumberFormat="1" applyFont="1" applyFill="1" applyBorder="1"/>
    <xf numFmtId="3" fontId="0" fillId="0" borderId="2" xfId="1" applyNumberFormat="1" applyFont="1" applyFill="1" applyBorder="1"/>
    <xf numFmtId="11" fontId="0" fillId="2" borderId="27" xfId="1" applyNumberFormat="1" applyFont="1" applyFill="1" applyBorder="1"/>
    <xf numFmtId="3" fontId="0" fillId="2" borderId="27" xfId="1" applyNumberFormat="1" applyFont="1" applyFill="1" applyBorder="1"/>
    <xf numFmtId="164" fontId="0" fillId="0" borderId="2" xfId="1" applyNumberFormat="1" applyFont="1" applyFill="1" applyBorder="1"/>
    <xf numFmtId="0" fontId="0" fillId="0" borderId="2" xfId="1" applyNumberFormat="1" applyFont="1" applyFill="1" applyBorder="1"/>
    <xf numFmtId="11" fontId="0" fillId="2" borderId="2" xfId="1" applyNumberFormat="1" applyFont="1" applyFill="1" applyBorder="1"/>
    <xf numFmtId="11" fontId="0" fillId="0" borderId="32" xfId="1" applyNumberFormat="1" applyFont="1" applyFill="1" applyBorder="1"/>
    <xf numFmtId="11" fontId="0" fillId="0" borderId="37" xfId="1" applyNumberFormat="1" applyFont="1" applyFill="1" applyBorder="1"/>
    <xf numFmtId="11" fontId="0" fillId="2" borderId="26" xfId="1" applyNumberFormat="1" applyFont="1" applyFill="1" applyBorder="1"/>
    <xf numFmtId="11" fontId="0" fillId="2" borderId="36" xfId="1" applyNumberFormat="1" applyFont="1" applyFill="1" applyBorder="1"/>
    <xf numFmtId="11" fontId="0" fillId="0" borderId="26" xfId="1" applyNumberFormat="1" applyFont="1" applyFill="1" applyBorder="1"/>
    <xf numFmtId="11" fontId="0" fillId="0" borderId="36" xfId="1" applyNumberFormat="1" applyFont="1" applyFill="1" applyBorder="1"/>
    <xf numFmtId="11" fontId="0" fillId="0" borderId="25" xfId="1" applyNumberFormat="1" applyFont="1" applyFill="1" applyBorder="1"/>
    <xf numFmtId="11" fontId="0" fillId="2" borderId="35" xfId="1" applyNumberFormat="1" applyFont="1" applyFill="1" applyBorder="1"/>
    <xf numFmtId="0" fontId="2" fillId="5" borderId="0" xfId="1" applyFill="1"/>
    <xf numFmtId="11" fontId="2" fillId="5" borderId="0" xfId="1" applyNumberFormat="1" applyFill="1"/>
    <xf numFmtId="2" fontId="2" fillId="5" borderId="0" xfId="1" applyNumberFormat="1" applyFill="1"/>
    <xf numFmtId="11" fontId="2" fillId="5" borderId="0" xfId="1" applyNumberFormat="1" applyFont="1" applyFill="1"/>
    <xf numFmtId="9" fontId="2" fillId="5" borderId="0" xfId="1" applyNumberFormat="1" applyFill="1"/>
    <xf numFmtId="3" fontId="0" fillId="3" borderId="1" xfId="1" applyNumberFormat="1" applyFont="1" applyFill="1" applyBorder="1" applyProtection="1">
      <protection locked="0"/>
    </xf>
    <xf numFmtId="3" fontId="0" fillId="3" borderId="21" xfId="1" applyNumberFormat="1" applyFont="1" applyFill="1" applyBorder="1" applyProtection="1">
      <protection locked="0"/>
    </xf>
    <xf numFmtId="0" fontId="7" fillId="3" borderId="3" xfId="3" applyFont="1" applyFill="1" applyBorder="1" applyProtection="1">
      <protection locked="0"/>
    </xf>
    <xf numFmtId="0" fontId="7" fillId="3" borderId="1" xfId="3" applyFont="1" applyFill="1" applyBorder="1" applyProtection="1">
      <protection locked="0"/>
    </xf>
    <xf numFmtId="2" fontId="0" fillId="3" borderId="3" xfId="1" applyNumberFormat="1" applyFont="1" applyFill="1" applyBorder="1" applyProtection="1">
      <protection locked="0"/>
    </xf>
    <xf numFmtId="2" fontId="0" fillId="3" borderId="1" xfId="1" applyNumberFormat="1" applyFont="1" applyFill="1" applyBorder="1" applyProtection="1">
      <protection locked="0"/>
    </xf>
    <xf numFmtId="0" fontId="0" fillId="0" borderId="21" xfId="1" applyFont="1" applyFill="1" applyBorder="1"/>
    <xf numFmtId="0" fontId="3" fillId="0" borderId="0" xfId="1" applyFont="1" applyAlignment="1">
      <alignment horizontal="center"/>
    </xf>
    <xf numFmtId="0" fontId="0" fillId="0" borderId="15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15" xfId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0.140625" style="1" bestFit="1" customWidth="1"/>
    <col min="3" max="3" width="15" style="1" bestFit="1" customWidth="1"/>
    <col min="4" max="4" width="10.5703125" style="1" bestFit="1" customWidth="1"/>
    <col min="5" max="5" width="10.42578125" style="1" bestFit="1" customWidth="1"/>
    <col min="6" max="6" width="18.28515625" style="1" bestFit="1" customWidth="1"/>
    <col min="7" max="7" width="9.28515625" style="1" bestFit="1" customWidth="1"/>
    <col min="8" max="8" width="20.140625" style="1" hidden="1" customWidth="1"/>
    <col min="9" max="9" width="10.85546875" style="1" hidden="1" customWidth="1"/>
    <col min="10" max="10" width="10.140625" style="1" hidden="1" customWidth="1"/>
    <col min="11" max="13" width="8.85546875" style="1" hidden="1" customWidth="1"/>
    <col min="14" max="15" width="10.85546875" style="1" hidden="1" customWidth="1"/>
    <col min="16" max="19" width="8.85546875" style="1" hidden="1" customWidth="1"/>
    <col min="20" max="16384" width="8.85546875" style="1"/>
  </cols>
  <sheetData>
    <row r="1" spans="1:19" ht="21" thickBot="1" x14ac:dyDescent="0.35">
      <c r="A1" s="81" t="s">
        <v>39</v>
      </c>
      <c r="B1" s="81"/>
      <c r="C1" s="81"/>
      <c r="D1" s="81"/>
      <c r="E1" s="81"/>
      <c r="F1" s="81"/>
      <c r="I1" s="27">
        <v>7000</v>
      </c>
      <c r="J1" s="18" t="s">
        <v>62</v>
      </c>
    </row>
    <row r="2" spans="1:19" x14ac:dyDescent="0.2">
      <c r="A2" s="8" t="s">
        <v>27</v>
      </c>
      <c r="B2" s="9"/>
      <c r="C2" s="9"/>
      <c r="D2" s="9"/>
      <c r="E2" s="10"/>
      <c r="F2" s="18"/>
    </row>
    <row r="3" spans="1:19" ht="14.25" customHeight="1" x14ac:dyDescent="0.2">
      <c r="A3" s="34" t="s">
        <v>2</v>
      </c>
      <c r="B3" s="70">
        <v>700</v>
      </c>
      <c r="C3" s="38" t="str">
        <f>CONCATENATE("hp = (",ROUNDUP(B3/1.34,1)," kw)")</f>
        <v>hp = (522.4 kw)</v>
      </c>
      <c r="D3" s="89" t="s">
        <v>82</v>
      </c>
      <c r="E3" s="90"/>
      <c r="F3" s="18"/>
      <c r="I3" s="28" t="s">
        <v>75</v>
      </c>
      <c r="N3" s="77" t="s">
        <v>77</v>
      </c>
      <c r="O3" s="77"/>
    </row>
    <row r="4" spans="1:19" ht="14.25" customHeight="1" x14ac:dyDescent="0.2">
      <c r="A4" s="48" t="s">
        <v>0</v>
      </c>
      <c r="B4" s="71">
        <v>8760</v>
      </c>
      <c r="C4" s="76" t="s">
        <v>1</v>
      </c>
      <c r="D4" s="91"/>
      <c r="E4" s="92"/>
      <c r="F4" s="18"/>
      <c r="I4" s="28" t="s">
        <v>60</v>
      </c>
      <c r="N4" s="77" t="s">
        <v>76</v>
      </c>
      <c r="O4" s="77"/>
    </row>
    <row r="5" spans="1:19" ht="14.25" customHeight="1" thickBot="1" x14ac:dyDescent="0.25">
      <c r="A5" s="35" t="s">
        <v>25</v>
      </c>
      <c r="B5" s="51">
        <v>15</v>
      </c>
      <c r="C5" s="49" t="str">
        <f>CONCATENATE("ppm or ",B5/10000,"%")</f>
        <v>ppm or 0.0015%</v>
      </c>
      <c r="D5" s="93"/>
      <c r="E5" s="94"/>
      <c r="F5" s="18"/>
      <c r="H5" s="5"/>
      <c r="I5" s="23" t="s">
        <v>61</v>
      </c>
      <c r="J5" s="24" t="s">
        <v>51</v>
      </c>
      <c r="K5" s="24" t="s">
        <v>52</v>
      </c>
      <c r="L5" s="23" t="s">
        <v>57</v>
      </c>
      <c r="M5" s="5"/>
      <c r="N5" s="26" t="s">
        <v>58</v>
      </c>
      <c r="O5" s="23" t="s">
        <v>61</v>
      </c>
      <c r="P5" s="24" t="s">
        <v>51</v>
      </c>
      <c r="Q5" s="24" t="s">
        <v>52</v>
      </c>
      <c r="R5" s="23" t="s">
        <v>57</v>
      </c>
    </row>
    <row r="6" spans="1:19" ht="13.5" thickBot="1" x14ac:dyDescent="0.25">
      <c r="A6" s="32"/>
      <c r="B6" s="32"/>
      <c r="C6" s="32"/>
      <c r="D6" s="32"/>
      <c r="E6" s="26"/>
      <c r="F6" s="26"/>
      <c r="H6" s="18" t="s">
        <v>71</v>
      </c>
      <c r="I6" s="65">
        <v>3.1E-2</v>
      </c>
      <c r="J6" s="19">
        <f>I6*$B$3</f>
        <v>21.7</v>
      </c>
      <c r="K6" s="19">
        <f>J6*$B$4/2000</f>
        <v>95.046000000000006</v>
      </c>
      <c r="L6" s="21" t="str">
        <f>IF($E$8=K6,"Match","")</f>
        <v/>
      </c>
      <c r="O6" s="65">
        <v>2.4E-2</v>
      </c>
      <c r="P6" s="19">
        <f t="shared" ref="P6:P11" si="0">O6*$B$3</f>
        <v>16.8</v>
      </c>
      <c r="Q6" s="19">
        <f t="shared" ref="Q6:Q11" si="1">P6*$B$4/2000</f>
        <v>73.584000000000003</v>
      </c>
      <c r="R6" s="21" t="str">
        <f>IF($E$8=Q6,"Match","")</f>
        <v>Match</v>
      </c>
    </row>
    <row r="7" spans="1:19" ht="42.75" customHeight="1" thickBot="1" x14ac:dyDescent="0.25">
      <c r="A7" s="11" t="s">
        <v>26</v>
      </c>
      <c r="B7" s="12" t="s">
        <v>40</v>
      </c>
      <c r="C7" s="12" t="s">
        <v>37</v>
      </c>
      <c r="D7" s="12" t="s">
        <v>31</v>
      </c>
      <c r="E7" s="12" t="s">
        <v>32</v>
      </c>
      <c r="F7" s="13" t="s">
        <v>28</v>
      </c>
      <c r="H7" s="18" t="s">
        <v>72</v>
      </c>
      <c r="J7" s="19"/>
      <c r="L7" s="21" t="str">
        <f>IF($E$8=K7,"Match","")</f>
        <v/>
      </c>
      <c r="O7" s="65">
        <v>1.2999999999999999E-2</v>
      </c>
      <c r="P7" s="19">
        <f t="shared" si="0"/>
        <v>9.1</v>
      </c>
      <c r="Q7" s="19">
        <f t="shared" si="1"/>
        <v>39.857999999999997</v>
      </c>
      <c r="R7" s="21" t="str">
        <f>IF($E$8=Q7,"Match","")</f>
        <v/>
      </c>
    </row>
    <row r="8" spans="1:19" ht="15.75" customHeight="1" x14ac:dyDescent="0.3">
      <c r="A8" s="3" t="s">
        <v>3</v>
      </c>
      <c r="B8" s="72"/>
      <c r="C8" s="41">
        <f>IF(B8="",IF($B$3&lt;600,I6,O6),"")</f>
        <v>2.4E-2</v>
      </c>
      <c r="D8" s="36">
        <f>IF(B8="",C8*$B$3,B8*$B$3/453.6)</f>
        <v>16.8</v>
      </c>
      <c r="E8" s="36">
        <f t="shared" ref="E8:E14" si="2">D8*$B$4/2000</f>
        <v>73.584000000000003</v>
      </c>
      <c r="F8" s="82" t="s">
        <v>50</v>
      </c>
      <c r="H8" s="18" t="s">
        <v>4</v>
      </c>
      <c r="I8" s="66">
        <v>6.6800000000000002E-3</v>
      </c>
      <c r="J8" s="19">
        <f>I8*$B$3</f>
        <v>4.6760000000000002</v>
      </c>
      <c r="K8" s="19">
        <f>J8*$B$4/2000</f>
        <v>20.480880000000003</v>
      </c>
      <c r="L8" s="21" t="str">
        <f>IF($E$9=K8,"Match","")</f>
        <v/>
      </c>
      <c r="O8" s="66">
        <v>5.4999999999999997E-3</v>
      </c>
      <c r="P8" s="19">
        <f t="shared" si="0"/>
        <v>3.8499999999999996</v>
      </c>
      <c r="Q8" s="19">
        <f t="shared" si="1"/>
        <v>16.863</v>
      </c>
      <c r="R8" s="21" t="str">
        <f>IF($E$9=Q8,"Match","")</f>
        <v>Match</v>
      </c>
    </row>
    <row r="9" spans="1:19" x14ac:dyDescent="0.2">
      <c r="A9" s="4" t="s">
        <v>4</v>
      </c>
      <c r="B9" s="73"/>
      <c r="C9" s="45">
        <f>IF(B9="",IF($B$3&lt;600,I8,O8),"")</f>
        <v>5.4999999999999997E-3</v>
      </c>
      <c r="D9" s="37">
        <f>IF(B9="",C9*$B$3,B9*$B$3/453.6)</f>
        <v>3.8499999999999996</v>
      </c>
      <c r="E9" s="37">
        <f t="shared" si="2"/>
        <v>16.863</v>
      </c>
      <c r="F9" s="85"/>
      <c r="H9" s="18" t="s">
        <v>54</v>
      </c>
      <c r="I9" s="66">
        <v>2.0500000000000002E-3</v>
      </c>
      <c r="J9" s="19">
        <f>I9*$B$3</f>
        <v>1.4350000000000001</v>
      </c>
      <c r="K9" s="19">
        <f>J9*$B$4/2000</f>
        <v>6.2853000000000003</v>
      </c>
      <c r="L9" s="21" t="str">
        <f>IF($E$13=K9,"Match","")</f>
        <v/>
      </c>
      <c r="N9" s="66">
        <v>8.09E-3</v>
      </c>
      <c r="O9" s="22">
        <f>$N$9*$B$5/1000000*100</f>
        <v>1.2135000000000002E-5</v>
      </c>
      <c r="P9" s="19">
        <f t="shared" si="0"/>
        <v>8.4945000000000003E-3</v>
      </c>
      <c r="Q9" s="19">
        <f t="shared" si="1"/>
        <v>3.7205910000000002E-2</v>
      </c>
      <c r="R9" s="21" t="str">
        <f>IF($E$13=Q9,"Match","")</f>
        <v>Match</v>
      </c>
      <c r="S9" s="18" t="s">
        <v>63</v>
      </c>
    </row>
    <row r="10" spans="1:19" ht="15.75" customHeight="1" x14ac:dyDescent="0.3">
      <c r="A10" s="6" t="s">
        <v>5</v>
      </c>
      <c r="B10" s="74"/>
      <c r="C10" s="46">
        <f>IF(B10="",IF($B$3&lt;600,I10,O10),"")</f>
        <v>6.9999999999999999E-4</v>
      </c>
      <c r="D10" s="39">
        <f>IF(B10="",C10*$B$3,B10*$B$3/453.6)</f>
        <v>0.49</v>
      </c>
      <c r="E10" s="39">
        <f t="shared" si="2"/>
        <v>2.1461999999999999</v>
      </c>
      <c r="F10" s="85"/>
      <c r="H10" s="18" t="s">
        <v>59</v>
      </c>
      <c r="I10" s="66">
        <v>2.2000000000000001E-3</v>
      </c>
      <c r="J10" s="19">
        <f>I10*$B$3</f>
        <v>1.54</v>
      </c>
      <c r="K10" s="19">
        <f>J10*$B$4/2000</f>
        <v>6.7451999999999996</v>
      </c>
      <c r="L10" s="21" t="str">
        <f>IF($E$10=K10,"Match","")</f>
        <v/>
      </c>
      <c r="O10" s="65">
        <v>6.9999999999999999E-4</v>
      </c>
      <c r="P10" s="19">
        <f t="shared" si="0"/>
        <v>0.49</v>
      </c>
      <c r="Q10" s="19">
        <f t="shared" si="1"/>
        <v>2.1461999999999999</v>
      </c>
      <c r="R10" s="21" t="str">
        <f>IF($E$10=Q10,"Match","")</f>
        <v>Match</v>
      </c>
      <c r="S10" s="18" t="s">
        <v>80</v>
      </c>
    </row>
    <row r="11" spans="1:19" ht="15.75" x14ac:dyDescent="0.3">
      <c r="A11" s="4" t="s">
        <v>6</v>
      </c>
      <c r="B11" s="75"/>
      <c r="C11" s="45">
        <f>IF(B11="",IF($B$3&lt;600,I10,O10),"")</f>
        <v>6.9999999999999999E-4</v>
      </c>
      <c r="D11" s="37">
        <f>IF(B11="",C11*$B$3,B11*$B$3/453.6)</f>
        <v>0.49</v>
      </c>
      <c r="E11" s="37">
        <f t="shared" si="2"/>
        <v>2.1461999999999999</v>
      </c>
      <c r="F11" s="85"/>
      <c r="H11" s="18" t="s">
        <v>53</v>
      </c>
      <c r="I11" s="66">
        <v>1.1499999999999999</v>
      </c>
      <c r="J11" s="20">
        <f>I11*$B$3</f>
        <v>804.99999999999989</v>
      </c>
      <c r="K11" s="20">
        <f>J11*$B$4/2000</f>
        <v>3525.8999999999996</v>
      </c>
      <c r="L11" s="21" t="str">
        <f>IF($E$17=K11,"Match","")</f>
        <v/>
      </c>
      <c r="O11" s="65">
        <v>1.1599999999999999</v>
      </c>
      <c r="P11" s="20">
        <f t="shared" si="0"/>
        <v>812</v>
      </c>
      <c r="Q11" s="20">
        <f t="shared" si="1"/>
        <v>3556.56</v>
      </c>
      <c r="R11" s="21" t="str">
        <f>IF($E$17=Q11,"Match","")</f>
        <v>Match</v>
      </c>
      <c r="S11" s="18" t="s">
        <v>81</v>
      </c>
    </row>
    <row r="12" spans="1:19" ht="15" customHeight="1" x14ac:dyDescent="0.2">
      <c r="A12" s="6" t="s">
        <v>8</v>
      </c>
      <c r="B12" s="75"/>
      <c r="C12" s="46">
        <f>IF(B12="",IF($B$3&lt;600,I14,O14),"")</f>
        <v>6.4155000000000006E-4</v>
      </c>
      <c r="D12" s="39">
        <f>IF(B12="",C12*$B$3,B12*$B$3/453.6)</f>
        <v>0.44908500000000007</v>
      </c>
      <c r="E12" s="39">
        <f t="shared" si="2"/>
        <v>1.9669923000000002</v>
      </c>
      <c r="F12" s="86"/>
      <c r="H12" s="18" t="s">
        <v>64</v>
      </c>
      <c r="I12" s="66">
        <v>4.6299999999999998E-4</v>
      </c>
      <c r="J12" s="30" t="s">
        <v>73</v>
      </c>
      <c r="P12" s="19"/>
    </row>
    <row r="13" spans="1:19" ht="15.75" x14ac:dyDescent="0.3">
      <c r="A13" s="4" t="s">
        <v>7</v>
      </c>
      <c r="B13" s="37"/>
      <c r="C13" s="45">
        <f>N9*$B$5/1000000*100</f>
        <v>1.2135000000000002E-5</v>
      </c>
      <c r="D13" s="37">
        <f>C13*$B$3</f>
        <v>8.4945000000000003E-3</v>
      </c>
      <c r="E13" s="37">
        <f t="shared" si="2"/>
        <v>3.7205910000000002E-2</v>
      </c>
      <c r="F13" s="33" t="s">
        <v>41</v>
      </c>
      <c r="H13" s="18" t="s">
        <v>56</v>
      </c>
      <c r="I13" s="66">
        <v>2.5100000000000001E-3</v>
      </c>
      <c r="J13" s="19">
        <f>I13*$B$3</f>
        <v>1.7570000000000001</v>
      </c>
      <c r="K13" s="19">
        <f>J13*$B$4/2000</f>
        <v>7.6956600000000011</v>
      </c>
      <c r="L13" s="21"/>
      <c r="O13" s="66">
        <v>7.0500000000000001E-4</v>
      </c>
      <c r="P13" s="19">
        <f>O13*$B$3</f>
        <v>0.49349999999999999</v>
      </c>
      <c r="Q13" s="19">
        <f>P13*$B$4/2000</f>
        <v>2.1615300000000004</v>
      </c>
      <c r="R13" s="21"/>
      <c r="S13" s="18" t="s">
        <v>74</v>
      </c>
    </row>
    <row r="14" spans="1:19" ht="13.5" thickBot="1" x14ac:dyDescent="0.25">
      <c r="A14" s="17" t="s">
        <v>34</v>
      </c>
      <c r="B14" s="49"/>
      <c r="C14" s="49"/>
      <c r="D14" s="50">
        <f>SUM(D22:D44)</f>
        <v>7.7102136999999977E-3</v>
      </c>
      <c r="E14" s="50">
        <f t="shared" si="2"/>
        <v>3.3770736005999995E-2</v>
      </c>
      <c r="F14" s="7" t="s">
        <v>36</v>
      </c>
      <c r="H14" s="18" t="s">
        <v>8</v>
      </c>
      <c r="I14" s="68">
        <f>SUM(I16:I19)</f>
        <v>2.5141E-3</v>
      </c>
      <c r="J14" s="19">
        <f>I14*$B$3</f>
        <v>1.75987</v>
      </c>
      <c r="K14" s="19">
        <f>J14*$B$4/2000</f>
        <v>7.7082306000000003</v>
      </c>
      <c r="L14" s="21" t="str">
        <f>IF($E$12=K14,"Match","")</f>
        <v/>
      </c>
      <c r="N14" s="69">
        <v>0.91</v>
      </c>
      <c r="O14" s="22">
        <f>O13*N14</f>
        <v>6.4155000000000006E-4</v>
      </c>
      <c r="P14" s="19">
        <f>O14*$B$3</f>
        <v>0.44908500000000007</v>
      </c>
      <c r="Q14" s="19">
        <f>P14*$B$4/2000</f>
        <v>1.9669923000000002</v>
      </c>
      <c r="R14" s="21" t="str">
        <f>IF($E$12=Q14,"Match","")</f>
        <v>Match</v>
      </c>
    </row>
    <row r="15" spans="1:19" ht="13.5" thickBot="1" x14ac:dyDescent="0.25">
      <c r="A15" s="2"/>
      <c r="B15" s="2"/>
      <c r="C15" s="25"/>
      <c r="D15" s="40"/>
      <c r="E15" s="40"/>
      <c r="F15" s="31"/>
      <c r="H15" s="18" t="s">
        <v>55</v>
      </c>
      <c r="L15" s="21" t="str">
        <f>IF($E$18=K15,"Match","")</f>
        <v/>
      </c>
      <c r="N15" s="69">
        <v>0.09</v>
      </c>
      <c r="O15" s="22">
        <f>O13*N15</f>
        <v>6.3449999999999997E-5</v>
      </c>
      <c r="P15" s="19">
        <f>O15*$B$3</f>
        <v>4.4414999999999996E-2</v>
      </c>
      <c r="Q15" s="19">
        <f>P15*$B$4/2000</f>
        <v>0.19453769999999998</v>
      </c>
      <c r="R15" s="21" t="str">
        <f>IF($E$18=Q15,"Match","")</f>
        <v>Match</v>
      </c>
    </row>
    <row r="16" spans="1:19" ht="42.75" customHeight="1" thickBot="1" x14ac:dyDescent="0.25">
      <c r="A16" s="11" t="s">
        <v>33</v>
      </c>
      <c r="B16" s="12" t="s">
        <v>29</v>
      </c>
      <c r="C16" s="12" t="s">
        <v>37</v>
      </c>
      <c r="D16" s="12" t="s">
        <v>31</v>
      </c>
      <c r="E16" s="12" t="s">
        <v>32</v>
      </c>
      <c r="F16" s="13" t="s">
        <v>28</v>
      </c>
      <c r="H16" s="18" t="s">
        <v>65</v>
      </c>
      <c r="I16" s="66">
        <v>2.47E-3</v>
      </c>
    </row>
    <row r="17" spans="1:18" ht="15.75" x14ac:dyDescent="0.3">
      <c r="A17" s="3" t="s">
        <v>78</v>
      </c>
      <c r="B17" s="41">
        <v>1</v>
      </c>
      <c r="C17" s="41">
        <f>IF($B$3&lt;600,I11,O11)</f>
        <v>1.1599999999999999</v>
      </c>
      <c r="D17" s="42">
        <f>C17*$B$3</f>
        <v>812</v>
      </c>
      <c r="E17" s="42">
        <f>D17*$B$4/2000</f>
        <v>3556.56</v>
      </c>
      <c r="F17" s="82" t="s">
        <v>49</v>
      </c>
      <c r="H17" s="18" t="s">
        <v>66</v>
      </c>
      <c r="I17" s="67">
        <v>0</v>
      </c>
    </row>
    <row r="18" spans="1:18" x14ac:dyDescent="0.2">
      <c r="A18" s="4" t="s">
        <v>30</v>
      </c>
      <c r="B18" s="43">
        <v>25</v>
      </c>
      <c r="C18" s="52">
        <f>IF($B$3&lt;600,"",$O$15)</f>
        <v>6.3449999999999997E-5</v>
      </c>
      <c r="D18" s="53">
        <f>IFERROR(C18*$B$3,0)</f>
        <v>4.4414999999999996E-2</v>
      </c>
      <c r="E18" s="53">
        <f>D18*$B$4/2000</f>
        <v>0.19453769999999998</v>
      </c>
      <c r="F18" s="83"/>
      <c r="H18" s="18" t="s">
        <v>67</v>
      </c>
      <c r="I18" s="66">
        <v>4.4100000000000001E-5</v>
      </c>
    </row>
    <row r="19" spans="1:18" ht="16.5" thickBot="1" x14ac:dyDescent="0.35">
      <c r="A19" s="17" t="s">
        <v>79</v>
      </c>
      <c r="B19" s="54"/>
      <c r="C19" s="55"/>
      <c r="D19" s="51"/>
      <c r="E19" s="51">
        <f>(D17*B17+D18*B18)*$B$4/2000</f>
        <v>3561.4234425</v>
      </c>
      <c r="F19" s="84"/>
      <c r="H19" s="18" t="s">
        <v>68</v>
      </c>
      <c r="I19" s="67">
        <v>0</v>
      </c>
    </row>
    <row r="20" spans="1:18" ht="13.5" thickBot="1" x14ac:dyDescent="0.25">
      <c r="A20" s="25"/>
      <c r="B20" s="25"/>
      <c r="C20" s="25"/>
      <c r="D20" s="25"/>
      <c r="E20" s="25"/>
      <c r="F20" s="31"/>
    </row>
    <row r="21" spans="1:18" ht="42.75" customHeight="1" thickBot="1" x14ac:dyDescent="0.25">
      <c r="A21" s="11" t="s">
        <v>35</v>
      </c>
      <c r="B21" s="87" t="s">
        <v>38</v>
      </c>
      <c r="C21" s="88"/>
      <c r="D21" s="12" t="s">
        <v>31</v>
      </c>
      <c r="E21" s="12" t="s">
        <v>32</v>
      </c>
      <c r="F21" s="13" t="s">
        <v>28</v>
      </c>
      <c r="H21" s="23" t="s">
        <v>34</v>
      </c>
      <c r="I21" s="29" t="s">
        <v>69</v>
      </c>
      <c r="J21" s="23" t="s">
        <v>61</v>
      </c>
      <c r="K21" s="24" t="s">
        <v>51</v>
      </c>
      <c r="L21" s="24" t="s">
        <v>52</v>
      </c>
      <c r="M21" s="23" t="s">
        <v>57</v>
      </c>
      <c r="N21" s="29" t="s">
        <v>70</v>
      </c>
      <c r="O21" s="23" t="s">
        <v>61</v>
      </c>
      <c r="P21" s="24" t="s">
        <v>51</v>
      </c>
      <c r="Q21" s="24" t="s">
        <v>52</v>
      </c>
      <c r="R21" s="23" t="s">
        <v>57</v>
      </c>
    </row>
    <row r="22" spans="1:18" ht="12.75" customHeight="1" x14ac:dyDescent="0.2">
      <c r="A22" s="16" t="s">
        <v>13</v>
      </c>
      <c r="B22" s="57"/>
      <c r="C22" s="58">
        <f>IF($B$3&lt;600,I22,N22)</f>
        <v>7.76E-4</v>
      </c>
      <c r="D22" s="44">
        <f>C22*$B$3*$I$1/1000000</f>
        <v>3.8024000000000001E-3</v>
      </c>
      <c r="E22" s="44">
        <f>D22*$B$4/2000</f>
        <v>1.6654512E-2</v>
      </c>
      <c r="F22" s="78" t="s">
        <v>83</v>
      </c>
      <c r="H22" s="1" t="s">
        <v>13</v>
      </c>
      <c r="I22" s="66">
        <v>9.3300000000000002E-4</v>
      </c>
      <c r="J22" s="22">
        <f>I22*$I$1/1000000</f>
        <v>6.5309999999999998E-6</v>
      </c>
      <c r="K22" s="22">
        <f t="shared" ref="K22:K44" si="3">J22*$B$3</f>
        <v>4.5716999999999997E-3</v>
      </c>
      <c r="L22" s="22">
        <f t="shared" ref="L22:L44" si="4">K22*$B$4/2000</f>
        <v>2.0024045999999997E-2</v>
      </c>
      <c r="M22" s="21" t="str">
        <f t="shared" ref="M22:M44" si="5">IF(E22=L22,"Match","")</f>
        <v/>
      </c>
      <c r="N22" s="66">
        <v>7.76E-4</v>
      </c>
      <c r="O22" s="22">
        <f>N22*$I$1/1000000</f>
        <v>5.4320000000000007E-6</v>
      </c>
      <c r="P22" s="22">
        <f>O22*$B$3</f>
        <v>3.8024000000000005E-3</v>
      </c>
      <c r="Q22" s="22">
        <f>P22*$B$4/2000</f>
        <v>1.6654512E-2</v>
      </c>
      <c r="R22" s="21" t="str">
        <f t="shared" ref="R22:R44" si="6">IF(E22=Q22,"Match","")</f>
        <v>Match</v>
      </c>
    </row>
    <row r="23" spans="1:18" x14ac:dyDescent="0.2">
      <c r="A23" s="15" t="s">
        <v>24</v>
      </c>
      <c r="B23" s="59"/>
      <c r="C23" s="60">
        <f>IF($B$3&lt;600,I23,N23)</f>
        <v>2.81E-4</v>
      </c>
      <c r="D23" s="45">
        <f>C23*$B$3*$I$1/1000000</f>
        <v>1.3768999999999999E-3</v>
      </c>
      <c r="E23" s="45">
        <f>D23*$B$4/2000</f>
        <v>6.0308219999999999E-3</v>
      </c>
      <c r="F23" s="79"/>
      <c r="H23" s="1" t="s">
        <v>24</v>
      </c>
      <c r="I23" s="66">
        <v>4.0900000000000002E-4</v>
      </c>
      <c r="J23" s="22">
        <f t="shared" ref="J23:J44" si="7">I23*$I$1/1000000</f>
        <v>2.8629999999999999E-6</v>
      </c>
      <c r="K23" s="22">
        <f t="shared" si="3"/>
        <v>2.0041E-3</v>
      </c>
      <c r="L23" s="22">
        <f t="shared" si="4"/>
        <v>8.7779580000000006E-3</v>
      </c>
      <c r="M23" s="21" t="str">
        <f t="shared" si="5"/>
        <v/>
      </c>
      <c r="N23" s="66">
        <v>2.81E-4</v>
      </c>
      <c r="O23" s="22">
        <f t="shared" ref="O23:O44" si="8">N23*$I$1/1000000</f>
        <v>1.967E-6</v>
      </c>
      <c r="P23" s="22">
        <f>O23*$B$3</f>
        <v>1.3768999999999999E-3</v>
      </c>
      <c r="Q23" s="22">
        <f>P23*$B$4/2000</f>
        <v>6.0308219999999999E-3</v>
      </c>
      <c r="R23" s="21" t="str">
        <f t="shared" si="6"/>
        <v>Match</v>
      </c>
    </row>
    <row r="24" spans="1:18" x14ac:dyDescent="0.2">
      <c r="A24" s="14" t="s">
        <v>42</v>
      </c>
      <c r="B24" s="61"/>
      <c r="C24" s="62">
        <f>IF($B$3&lt;600,I24,N24)</f>
        <v>1.93E-4</v>
      </c>
      <c r="D24" s="46">
        <f>C24*$B$3*$I$1/1000000</f>
        <v>9.4569999999999995E-4</v>
      </c>
      <c r="E24" s="46">
        <f>D24*$B$4/2000</f>
        <v>4.1421659999999992E-3</v>
      </c>
      <c r="F24" s="79"/>
      <c r="H24" s="1" t="s">
        <v>42</v>
      </c>
      <c r="I24" s="66">
        <v>2.8499999999999999E-4</v>
      </c>
      <c r="J24" s="22">
        <f t="shared" si="7"/>
        <v>1.995E-6</v>
      </c>
      <c r="K24" s="22">
        <f t="shared" si="3"/>
        <v>1.3965E-3</v>
      </c>
      <c r="L24" s="22">
        <f t="shared" si="4"/>
        <v>6.1166700000000003E-3</v>
      </c>
      <c r="M24" s="21" t="str">
        <f t="shared" si="5"/>
        <v/>
      </c>
      <c r="N24" s="66">
        <v>1.93E-4</v>
      </c>
      <c r="O24" s="22">
        <f t="shared" si="8"/>
        <v>1.3510000000000001E-6</v>
      </c>
      <c r="P24" s="22">
        <f>O24*$B$3</f>
        <v>9.4570000000000006E-4</v>
      </c>
      <c r="Q24" s="22">
        <f>P24*$B$4/2000</f>
        <v>4.1421660000000001E-3</v>
      </c>
      <c r="R24" s="21" t="str">
        <f t="shared" si="6"/>
        <v>Match</v>
      </c>
    </row>
    <row r="25" spans="1:18" x14ac:dyDescent="0.2">
      <c r="A25" s="15" t="str">
        <f>IF($B$3&lt;600,"1,3-Butadiene","")</f>
        <v/>
      </c>
      <c r="B25" s="59"/>
      <c r="C25" s="60" t="str">
        <f>IF($B$3&lt;600,I25,"")</f>
        <v/>
      </c>
      <c r="D25" s="45" t="str">
        <f>IFERROR(C25*$B$3*$I$1/1000000,"")</f>
        <v/>
      </c>
      <c r="E25" s="45" t="str">
        <f>IFERROR(D25*$B$4/2000,"")</f>
        <v/>
      </c>
      <c r="F25" s="79"/>
      <c r="H25" s="1" t="s">
        <v>48</v>
      </c>
      <c r="I25" s="66">
        <v>3.9100000000000002E-5</v>
      </c>
      <c r="J25" s="22">
        <f t="shared" si="7"/>
        <v>2.7370000000000002E-7</v>
      </c>
      <c r="K25" s="22">
        <f t="shared" si="3"/>
        <v>1.9159000000000003E-4</v>
      </c>
      <c r="L25" s="22">
        <f t="shared" si="4"/>
        <v>8.3916420000000017E-4</v>
      </c>
      <c r="M25" s="21" t="str">
        <f t="shared" si="5"/>
        <v/>
      </c>
      <c r="N25" s="22"/>
      <c r="O25" s="22"/>
      <c r="P25" s="22"/>
      <c r="Q25" s="22"/>
      <c r="R25" s="21" t="str">
        <f t="shared" si="6"/>
        <v>Match</v>
      </c>
    </row>
    <row r="26" spans="1:18" x14ac:dyDescent="0.2">
      <c r="A26" s="14" t="s">
        <v>20</v>
      </c>
      <c r="B26" s="61"/>
      <c r="C26" s="62">
        <f t="shared" ref="C26:C44" si="9">IF($B$3&lt;600,I26,N26)</f>
        <v>7.8899999999999993E-5</v>
      </c>
      <c r="D26" s="46">
        <f t="shared" ref="D26:D44" si="10">C26*$B$3*$I$1/1000000</f>
        <v>3.8660999999999996E-4</v>
      </c>
      <c r="E26" s="46">
        <f t="shared" ref="E26:E44" si="11">D26*$B$4/2000</f>
        <v>1.6933517999999999E-3</v>
      </c>
      <c r="F26" s="79"/>
      <c r="H26" s="1" t="s">
        <v>20</v>
      </c>
      <c r="I26" s="66">
        <v>1.1800000000000001E-3</v>
      </c>
      <c r="J26" s="22">
        <f t="shared" si="7"/>
        <v>8.2600000000000005E-6</v>
      </c>
      <c r="K26" s="22">
        <f t="shared" si="3"/>
        <v>5.7820000000000007E-3</v>
      </c>
      <c r="L26" s="22">
        <f t="shared" si="4"/>
        <v>2.5325160000000003E-2</v>
      </c>
      <c r="M26" s="21" t="str">
        <f t="shared" si="5"/>
        <v/>
      </c>
      <c r="N26" s="66">
        <v>7.8899999999999993E-5</v>
      </c>
      <c r="O26" s="22">
        <f t="shared" si="8"/>
        <v>5.5229999999999988E-7</v>
      </c>
      <c r="P26" s="22">
        <f t="shared" ref="P26:P44" si="12">O26*$B$3</f>
        <v>3.8660999999999991E-4</v>
      </c>
      <c r="Q26" s="22">
        <f t="shared" ref="Q26:Q44" si="13">P26*$B$4/2000</f>
        <v>1.6933517999999997E-3</v>
      </c>
      <c r="R26" s="21" t="str">
        <f t="shared" si="6"/>
        <v>Match</v>
      </c>
    </row>
    <row r="27" spans="1:18" x14ac:dyDescent="0.2">
      <c r="A27" s="15" t="s">
        <v>43</v>
      </c>
      <c r="B27" s="59"/>
      <c r="C27" s="60">
        <f t="shared" si="9"/>
        <v>2.5199999999999999E-5</v>
      </c>
      <c r="D27" s="45">
        <f t="shared" si="10"/>
        <v>1.2347999999999998E-4</v>
      </c>
      <c r="E27" s="45">
        <f t="shared" si="11"/>
        <v>5.4084239999999996E-4</v>
      </c>
      <c r="F27" s="79"/>
      <c r="H27" s="1" t="s">
        <v>43</v>
      </c>
      <c r="I27" s="66">
        <v>7.67E-4</v>
      </c>
      <c r="J27" s="22">
        <f t="shared" si="7"/>
        <v>5.3689999999999998E-6</v>
      </c>
      <c r="K27" s="22">
        <f t="shared" si="3"/>
        <v>3.7583E-3</v>
      </c>
      <c r="L27" s="22">
        <f t="shared" si="4"/>
        <v>1.6461354000000001E-2</v>
      </c>
      <c r="M27" s="21" t="str">
        <f t="shared" si="5"/>
        <v/>
      </c>
      <c r="N27" s="66">
        <v>2.5199999999999999E-5</v>
      </c>
      <c r="O27" s="22">
        <f t="shared" si="8"/>
        <v>1.7639999999999999E-7</v>
      </c>
      <c r="P27" s="22">
        <f t="shared" si="12"/>
        <v>1.2348E-4</v>
      </c>
      <c r="Q27" s="22">
        <f t="shared" si="13"/>
        <v>5.4084240000000007E-4</v>
      </c>
      <c r="R27" s="21" t="str">
        <f t="shared" si="6"/>
        <v>Match</v>
      </c>
    </row>
    <row r="28" spans="1:18" x14ac:dyDescent="0.2">
      <c r="A28" s="14" t="s">
        <v>44</v>
      </c>
      <c r="B28" s="61"/>
      <c r="C28" s="62">
        <f t="shared" si="9"/>
        <v>7.8800000000000008E-6</v>
      </c>
      <c r="D28" s="46">
        <f t="shared" si="10"/>
        <v>3.8612000000000009E-5</v>
      </c>
      <c r="E28" s="46">
        <f t="shared" si="11"/>
        <v>1.6912056000000002E-4</v>
      </c>
      <c r="F28" s="79"/>
      <c r="H28" s="1" t="s">
        <v>44</v>
      </c>
      <c r="I28" s="66">
        <v>9.2499999999999999E-5</v>
      </c>
      <c r="J28" s="22">
        <f t="shared" si="7"/>
        <v>6.4749999999999994E-7</v>
      </c>
      <c r="K28" s="22">
        <f t="shared" si="3"/>
        <v>4.5324999999999999E-4</v>
      </c>
      <c r="L28" s="22">
        <f t="shared" si="4"/>
        <v>1.9852349999999997E-3</v>
      </c>
      <c r="M28" s="21" t="str">
        <f t="shared" si="5"/>
        <v/>
      </c>
      <c r="N28" s="66">
        <v>7.8800000000000008E-6</v>
      </c>
      <c r="O28" s="22">
        <f t="shared" si="8"/>
        <v>5.5160000000000006E-8</v>
      </c>
      <c r="P28" s="22">
        <f t="shared" si="12"/>
        <v>3.8612000000000002E-5</v>
      </c>
      <c r="Q28" s="22">
        <f t="shared" si="13"/>
        <v>1.6912055999999999E-4</v>
      </c>
      <c r="R28" s="21" t="str">
        <f t="shared" si="6"/>
        <v>Match</v>
      </c>
    </row>
    <row r="29" spans="1:18" x14ac:dyDescent="0.2">
      <c r="A29" s="15" t="s">
        <v>22</v>
      </c>
      <c r="B29" s="59"/>
      <c r="C29" s="60">
        <f t="shared" si="9"/>
        <v>1.2999999999999999E-4</v>
      </c>
      <c r="D29" s="45">
        <f t="shared" si="10"/>
        <v>6.3699999999999998E-4</v>
      </c>
      <c r="E29" s="45">
        <f t="shared" si="11"/>
        <v>2.79006E-3</v>
      </c>
      <c r="F29" s="79"/>
      <c r="H29" s="1" t="s">
        <v>22</v>
      </c>
      <c r="I29" s="66">
        <v>8.4800000000000001E-5</v>
      </c>
      <c r="J29" s="22">
        <f t="shared" si="7"/>
        <v>5.9360000000000002E-7</v>
      </c>
      <c r="K29" s="22">
        <f t="shared" si="3"/>
        <v>4.1552000000000001E-4</v>
      </c>
      <c r="L29" s="22">
        <f t="shared" si="4"/>
        <v>1.8199776000000002E-3</v>
      </c>
      <c r="M29" s="21" t="str">
        <f t="shared" si="5"/>
        <v/>
      </c>
      <c r="N29" s="66">
        <v>1.2999999999999999E-4</v>
      </c>
      <c r="O29" s="22">
        <f t="shared" si="8"/>
        <v>9.0999999999999997E-7</v>
      </c>
      <c r="P29" s="22">
        <f t="shared" si="12"/>
        <v>6.3699999999999998E-4</v>
      </c>
      <c r="Q29" s="22">
        <f t="shared" si="13"/>
        <v>2.79006E-3</v>
      </c>
      <c r="R29" s="21" t="str">
        <f t="shared" si="6"/>
        <v>Match</v>
      </c>
    </row>
    <row r="30" spans="1:18" x14ac:dyDescent="0.2">
      <c r="A30" s="14" t="s">
        <v>10</v>
      </c>
      <c r="B30" s="61"/>
      <c r="C30" s="62">
        <f t="shared" si="9"/>
        <v>9.2299999999999997E-6</v>
      </c>
      <c r="D30" s="46">
        <f t="shared" si="10"/>
        <v>4.5226999999999999E-5</v>
      </c>
      <c r="E30" s="46">
        <f t="shared" si="11"/>
        <v>1.9809426E-4</v>
      </c>
      <c r="F30" s="79"/>
      <c r="H30" s="1" t="s">
        <v>10</v>
      </c>
      <c r="I30" s="66">
        <v>5.0599999999999998E-6</v>
      </c>
      <c r="J30" s="22">
        <f t="shared" si="7"/>
        <v>3.5420000000000002E-8</v>
      </c>
      <c r="K30" s="22">
        <f t="shared" si="3"/>
        <v>2.4794E-5</v>
      </c>
      <c r="L30" s="22">
        <f t="shared" si="4"/>
        <v>1.0859772E-4</v>
      </c>
      <c r="M30" s="21" t="str">
        <f t="shared" si="5"/>
        <v/>
      </c>
      <c r="N30" s="66">
        <v>9.2299999999999997E-6</v>
      </c>
      <c r="O30" s="22">
        <f t="shared" si="8"/>
        <v>6.4609999999999994E-8</v>
      </c>
      <c r="P30" s="22">
        <f t="shared" si="12"/>
        <v>4.5226999999999999E-5</v>
      </c>
      <c r="Q30" s="22">
        <f t="shared" si="13"/>
        <v>1.9809426E-4</v>
      </c>
      <c r="R30" s="21" t="str">
        <f t="shared" si="6"/>
        <v>Match</v>
      </c>
    </row>
    <row r="31" spans="1:18" x14ac:dyDescent="0.2">
      <c r="A31" s="15" t="s">
        <v>9</v>
      </c>
      <c r="B31" s="59"/>
      <c r="C31" s="60">
        <f t="shared" si="9"/>
        <v>4.6800000000000001E-6</v>
      </c>
      <c r="D31" s="45">
        <f t="shared" si="10"/>
        <v>2.2932000000000003E-5</v>
      </c>
      <c r="E31" s="45">
        <f t="shared" si="11"/>
        <v>1.0044216000000002E-4</v>
      </c>
      <c r="F31" s="79"/>
      <c r="H31" s="1" t="s">
        <v>9</v>
      </c>
      <c r="I31" s="66">
        <v>1.42E-6</v>
      </c>
      <c r="J31" s="22">
        <f t="shared" si="7"/>
        <v>9.94E-9</v>
      </c>
      <c r="K31" s="22">
        <f t="shared" si="3"/>
        <v>6.9580000000000001E-6</v>
      </c>
      <c r="L31" s="22">
        <f t="shared" si="4"/>
        <v>3.047604E-5</v>
      </c>
      <c r="M31" s="21" t="str">
        <f t="shared" si="5"/>
        <v/>
      </c>
      <c r="N31" s="66">
        <v>4.6800000000000001E-6</v>
      </c>
      <c r="O31" s="22">
        <f t="shared" si="8"/>
        <v>3.2759999999999997E-8</v>
      </c>
      <c r="P31" s="22">
        <f t="shared" si="12"/>
        <v>2.2931999999999997E-5</v>
      </c>
      <c r="Q31" s="22">
        <f t="shared" si="13"/>
        <v>1.0044215999999998E-4</v>
      </c>
      <c r="R31" s="21" t="str">
        <f t="shared" si="6"/>
        <v>Match</v>
      </c>
    </row>
    <row r="32" spans="1:18" x14ac:dyDescent="0.2">
      <c r="A32" s="14" t="s">
        <v>19</v>
      </c>
      <c r="B32" s="61"/>
      <c r="C32" s="62">
        <f t="shared" si="9"/>
        <v>1.2799999999999999E-5</v>
      </c>
      <c r="D32" s="46">
        <f t="shared" si="10"/>
        <v>6.2719999999999996E-5</v>
      </c>
      <c r="E32" s="46">
        <f t="shared" si="11"/>
        <v>2.7471359999999998E-4</v>
      </c>
      <c r="F32" s="79"/>
      <c r="H32" s="1" t="s">
        <v>19</v>
      </c>
      <c r="I32" s="66">
        <v>2.9200000000000002E-5</v>
      </c>
      <c r="J32" s="22">
        <f t="shared" si="7"/>
        <v>2.044E-7</v>
      </c>
      <c r="K32" s="22">
        <f t="shared" si="3"/>
        <v>1.4307999999999999E-4</v>
      </c>
      <c r="L32" s="22">
        <f t="shared" si="4"/>
        <v>6.2669039999999998E-4</v>
      </c>
      <c r="M32" s="21" t="str">
        <f t="shared" si="5"/>
        <v/>
      </c>
      <c r="N32" s="66">
        <v>1.2799999999999999E-5</v>
      </c>
      <c r="O32" s="22">
        <f t="shared" si="8"/>
        <v>8.9599999999999995E-8</v>
      </c>
      <c r="P32" s="22">
        <f t="shared" si="12"/>
        <v>6.2719999999999996E-5</v>
      </c>
      <c r="Q32" s="22">
        <f t="shared" si="13"/>
        <v>2.7471359999999998E-4</v>
      </c>
      <c r="R32" s="21" t="str">
        <f t="shared" si="6"/>
        <v>Match</v>
      </c>
    </row>
    <row r="33" spans="1:18" x14ac:dyDescent="0.2">
      <c r="A33" s="15" t="s">
        <v>45</v>
      </c>
      <c r="B33" s="59"/>
      <c r="C33" s="60">
        <f t="shared" si="9"/>
        <v>4.0800000000000002E-5</v>
      </c>
      <c r="D33" s="45">
        <f t="shared" si="10"/>
        <v>1.9992000000000002E-4</v>
      </c>
      <c r="E33" s="45">
        <f t="shared" si="11"/>
        <v>8.7564960000000014E-4</v>
      </c>
      <c r="F33" s="79"/>
      <c r="H33" s="1" t="s">
        <v>45</v>
      </c>
      <c r="I33" s="66">
        <v>2.94E-5</v>
      </c>
      <c r="J33" s="22">
        <f t="shared" si="7"/>
        <v>2.058E-7</v>
      </c>
      <c r="K33" s="22">
        <f t="shared" si="3"/>
        <v>1.4406E-4</v>
      </c>
      <c r="L33" s="22">
        <f t="shared" si="4"/>
        <v>6.3098279999999993E-4</v>
      </c>
      <c r="M33" s="21" t="str">
        <f t="shared" si="5"/>
        <v/>
      </c>
      <c r="N33" s="66">
        <v>4.0800000000000002E-5</v>
      </c>
      <c r="O33" s="22">
        <f t="shared" si="8"/>
        <v>2.8560000000000002E-7</v>
      </c>
      <c r="P33" s="22">
        <f t="shared" si="12"/>
        <v>1.9992000000000002E-4</v>
      </c>
      <c r="Q33" s="22">
        <f t="shared" si="13"/>
        <v>8.7564960000000014E-4</v>
      </c>
      <c r="R33" s="21" t="str">
        <f t="shared" si="6"/>
        <v>Match</v>
      </c>
    </row>
    <row r="34" spans="1:18" x14ac:dyDescent="0.2">
      <c r="A34" s="14" t="s">
        <v>11</v>
      </c>
      <c r="B34" s="61"/>
      <c r="C34" s="62">
        <f t="shared" si="9"/>
        <v>1.2300000000000001E-6</v>
      </c>
      <c r="D34" s="46">
        <f t="shared" si="10"/>
        <v>6.0270000000000001E-6</v>
      </c>
      <c r="E34" s="46">
        <f t="shared" si="11"/>
        <v>2.6398259999999998E-5</v>
      </c>
      <c r="F34" s="79"/>
      <c r="H34" s="1" t="s">
        <v>11</v>
      </c>
      <c r="I34" s="66">
        <v>1.8700000000000001E-6</v>
      </c>
      <c r="J34" s="22">
        <f t="shared" si="7"/>
        <v>1.3090000000000002E-8</v>
      </c>
      <c r="K34" s="22">
        <f t="shared" si="3"/>
        <v>9.1630000000000019E-6</v>
      </c>
      <c r="L34" s="22">
        <f t="shared" si="4"/>
        <v>4.0133940000000008E-5</v>
      </c>
      <c r="M34" s="21" t="str">
        <f t="shared" si="5"/>
        <v/>
      </c>
      <c r="N34" s="66">
        <v>1.2300000000000001E-6</v>
      </c>
      <c r="O34" s="22">
        <f t="shared" si="8"/>
        <v>8.6100000000000007E-9</v>
      </c>
      <c r="P34" s="22">
        <f t="shared" si="12"/>
        <v>6.0270000000000001E-6</v>
      </c>
      <c r="Q34" s="22">
        <f t="shared" si="13"/>
        <v>2.6398259999999998E-5</v>
      </c>
      <c r="R34" s="21" t="str">
        <f t="shared" si="6"/>
        <v>Match</v>
      </c>
    </row>
    <row r="35" spans="1:18" x14ac:dyDescent="0.2">
      <c r="A35" s="15" t="s">
        <v>18</v>
      </c>
      <c r="B35" s="59"/>
      <c r="C35" s="60">
        <f t="shared" si="9"/>
        <v>4.0300000000000004E-6</v>
      </c>
      <c r="D35" s="45">
        <f t="shared" si="10"/>
        <v>1.9746999999999999E-5</v>
      </c>
      <c r="E35" s="45">
        <f t="shared" si="11"/>
        <v>8.6491859999999988E-5</v>
      </c>
      <c r="F35" s="79"/>
      <c r="H35" s="1" t="s">
        <v>18</v>
      </c>
      <c r="I35" s="66">
        <v>7.61E-6</v>
      </c>
      <c r="J35" s="22">
        <f t="shared" si="7"/>
        <v>5.327E-8</v>
      </c>
      <c r="K35" s="22">
        <f t="shared" si="3"/>
        <v>3.7289000000000002E-5</v>
      </c>
      <c r="L35" s="22">
        <f t="shared" si="4"/>
        <v>1.6332582E-4</v>
      </c>
      <c r="M35" s="21" t="str">
        <f t="shared" si="5"/>
        <v/>
      </c>
      <c r="N35" s="66">
        <v>4.0300000000000004E-6</v>
      </c>
      <c r="O35" s="22">
        <f t="shared" si="8"/>
        <v>2.8210000000000002E-8</v>
      </c>
      <c r="P35" s="22">
        <f t="shared" si="12"/>
        <v>1.9747000000000003E-5</v>
      </c>
      <c r="Q35" s="22">
        <f t="shared" si="13"/>
        <v>8.6491860000000015E-5</v>
      </c>
      <c r="R35" s="21" t="str">
        <f t="shared" si="6"/>
        <v>Match</v>
      </c>
    </row>
    <row r="36" spans="1:18" x14ac:dyDescent="0.2">
      <c r="A36" s="14" t="s">
        <v>23</v>
      </c>
      <c r="B36" s="61"/>
      <c r="C36" s="62">
        <f t="shared" si="9"/>
        <v>3.7100000000000001E-6</v>
      </c>
      <c r="D36" s="46">
        <f t="shared" si="10"/>
        <v>1.8179E-5</v>
      </c>
      <c r="E36" s="46">
        <f t="shared" si="11"/>
        <v>7.962402000000001E-5</v>
      </c>
      <c r="F36" s="79"/>
      <c r="H36" s="1" t="s">
        <v>23</v>
      </c>
      <c r="I36" s="66">
        <v>4.78E-6</v>
      </c>
      <c r="J36" s="22">
        <f t="shared" si="7"/>
        <v>3.3459999999999997E-8</v>
      </c>
      <c r="K36" s="22">
        <f t="shared" si="3"/>
        <v>2.3421999999999997E-5</v>
      </c>
      <c r="L36" s="22">
        <f t="shared" si="4"/>
        <v>1.0258835999999999E-4</v>
      </c>
      <c r="M36" s="21" t="str">
        <f t="shared" si="5"/>
        <v/>
      </c>
      <c r="N36" s="66">
        <v>3.7100000000000001E-6</v>
      </c>
      <c r="O36" s="22">
        <f t="shared" si="8"/>
        <v>2.597E-8</v>
      </c>
      <c r="P36" s="22">
        <f t="shared" si="12"/>
        <v>1.8179E-5</v>
      </c>
      <c r="Q36" s="22">
        <f t="shared" si="13"/>
        <v>7.962402000000001E-5</v>
      </c>
      <c r="R36" s="21" t="str">
        <f t="shared" si="6"/>
        <v>Match</v>
      </c>
    </row>
    <row r="37" spans="1:18" x14ac:dyDescent="0.2">
      <c r="A37" s="15" t="s">
        <v>12</v>
      </c>
      <c r="B37" s="59"/>
      <c r="C37" s="60">
        <f t="shared" si="9"/>
        <v>6.2200000000000004E-7</v>
      </c>
      <c r="D37" s="45">
        <f t="shared" si="10"/>
        <v>3.0477999999999999E-6</v>
      </c>
      <c r="E37" s="45">
        <f t="shared" si="11"/>
        <v>1.3349363999999999E-5</v>
      </c>
      <c r="F37" s="79"/>
      <c r="H37" s="1" t="s">
        <v>12</v>
      </c>
      <c r="I37" s="66">
        <v>1.68E-6</v>
      </c>
      <c r="J37" s="22">
        <f t="shared" si="7"/>
        <v>1.1759999999999999E-8</v>
      </c>
      <c r="K37" s="22">
        <f t="shared" si="3"/>
        <v>8.2320000000000001E-6</v>
      </c>
      <c r="L37" s="22">
        <f t="shared" si="4"/>
        <v>3.6056160000000006E-5</v>
      </c>
      <c r="M37" s="21" t="str">
        <f t="shared" si="5"/>
        <v/>
      </c>
      <c r="N37" s="66">
        <v>6.2200000000000004E-7</v>
      </c>
      <c r="O37" s="22">
        <f t="shared" si="8"/>
        <v>4.3540000000000005E-9</v>
      </c>
      <c r="P37" s="22">
        <f t="shared" si="12"/>
        <v>3.0478000000000003E-6</v>
      </c>
      <c r="Q37" s="22">
        <f t="shared" si="13"/>
        <v>1.3349364000000001E-5</v>
      </c>
      <c r="R37" s="21" t="str">
        <f t="shared" si="6"/>
        <v>Match</v>
      </c>
    </row>
    <row r="38" spans="1:18" x14ac:dyDescent="0.2">
      <c r="A38" s="14" t="s">
        <v>17</v>
      </c>
      <c r="B38" s="61"/>
      <c r="C38" s="62">
        <f t="shared" si="9"/>
        <v>1.53E-6</v>
      </c>
      <c r="D38" s="46">
        <f t="shared" si="10"/>
        <v>7.4969999999999987E-6</v>
      </c>
      <c r="E38" s="46">
        <f t="shared" si="11"/>
        <v>3.2836859999999994E-5</v>
      </c>
      <c r="F38" s="79"/>
      <c r="H38" s="1" t="s">
        <v>17</v>
      </c>
      <c r="I38" s="66">
        <v>3.53E-7</v>
      </c>
      <c r="J38" s="22">
        <f t="shared" si="7"/>
        <v>2.4710000000000003E-9</v>
      </c>
      <c r="K38" s="22">
        <f t="shared" si="3"/>
        <v>1.7297000000000001E-6</v>
      </c>
      <c r="L38" s="22">
        <f t="shared" si="4"/>
        <v>7.5760860000000011E-6</v>
      </c>
      <c r="M38" s="21" t="str">
        <f t="shared" si="5"/>
        <v/>
      </c>
      <c r="N38" s="66">
        <v>1.53E-6</v>
      </c>
      <c r="O38" s="22">
        <f t="shared" si="8"/>
        <v>1.071E-8</v>
      </c>
      <c r="P38" s="22">
        <f t="shared" si="12"/>
        <v>7.4969999999999995E-6</v>
      </c>
      <c r="Q38" s="22">
        <f t="shared" si="13"/>
        <v>3.2836859999999994E-5</v>
      </c>
      <c r="R38" s="21" t="str">
        <f t="shared" si="6"/>
        <v>Match</v>
      </c>
    </row>
    <row r="39" spans="1:18" x14ac:dyDescent="0.2">
      <c r="A39" s="15" t="s">
        <v>15</v>
      </c>
      <c r="B39" s="59"/>
      <c r="C39" s="60">
        <f t="shared" si="9"/>
        <v>1.11E-6</v>
      </c>
      <c r="D39" s="45">
        <f t="shared" si="10"/>
        <v>5.4389999999999999E-6</v>
      </c>
      <c r="E39" s="45">
        <f t="shared" si="11"/>
        <v>2.382282E-5</v>
      </c>
      <c r="F39" s="79"/>
      <c r="H39" s="1" t="s">
        <v>15</v>
      </c>
      <c r="I39" s="66">
        <v>9.9099999999999994E-8</v>
      </c>
      <c r="J39" s="22">
        <f t="shared" si="7"/>
        <v>6.9369999999999999E-10</v>
      </c>
      <c r="K39" s="22">
        <f t="shared" si="3"/>
        <v>4.8559E-7</v>
      </c>
      <c r="L39" s="22">
        <f t="shared" si="4"/>
        <v>2.1268841999999998E-6</v>
      </c>
      <c r="M39" s="21" t="str">
        <f t="shared" si="5"/>
        <v/>
      </c>
      <c r="N39" s="66">
        <v>1.11E-6</v>
      </c>
      <c r="O39" s="22">
        <f t="shared" si="8"/>
        <v>7.7699999999999994E-9</v>
      </c>
      <c r="P39" s="22">
        <f t="shared" si="12"/>
        <v>5.4389999999999999E-6</v>
      </c>
      <c r="Q39" s="22">
        <f t="shared" si="13"/>
        <v>2.382282E-5</v>
      </c>
      <c r="R39" s="21" t="str">
        <f t="shared" si="6"/>
        <v>Match</v>
      </c>
    </row>
    <row r="40" spans="1:18" x14ac:dyDescent="0.2">
      <c r="A40" s="14" t="s">
        <v>16</v>
      </c>
      <c r="B40" s="61"/>
      <c r="C40" s="62">
        <f t="shared" si="9"/>
        <v>2.1799999999999999E-7</v>
      </c>
      <c r="D40" s="46">
        <f t="shared" si="10"/>
        <v>1.0682E-6</v>
      </c>
      <c r="E40" s="46">
        <f t="shared" si="11"/>
        <v>4.6787160000000002E-6</v>
      </c>
      <c r="F40" s="79"/>
      <c r="H40" s="1" t="s">
        <v>16</v>
      </c>
      <c r="I40" s="66">
        <v>1.55E-7</v>
      </c>
      <c r="J40" s="22">
        <f t="shared" si="7"/>
        <v>1.0850000000000001E-9</v>
      </c>
      <c r="K40" s="22">
        <f t="shared" si="3"/>
        <v>7.595000000000001E-7</v>
      </c>
      <c r="L40" s="22">
        <f t="shared" si="4"/>
        <v>3.3266100000000003E-6</v>
      </c>
      <c r="M40" s="21" t="str">
        <f t="shared" si="5"/>
        <v/>
      </c>
      <c r="N40" s="66">
        <v>2.1799999999999999E-7</v>
      </c>
      <c r="O40" s="22">
        <f t="shared" si="8"/>
        <v>1.5260000000000001E-9</v>
      </c>
      <c r="P40" s="22">
        <f t="shared" si="12"/>
        <v>1.0682E-6</v>
      </c>
      <c r="Q40" s="22">
        <f t="shared" si="13"/>
        <v>4.6787160000000002E-6</v>
      </c>
      <c r="R40" s="21" t="str">
        <f t="shared" si="6"/>
        <v>Match</v>
      </c>
    </row>
    <row r="41" spans="1:18" x14ac:dyDescent="0.2">
      <c r="A41" s="15" t="s">
        <v>14</v>
      </c>
      <c r="B41" s="59"/>
      <c r="C41" s="60">
        <f t="shared" si="9"/>
        <v>2.5699999999999999E-7</v>
      </c>
      <c r="D41" s="45">
        <f t="shared" si="10"/>
        <v>1.2593E-6</v>
      </c>
      <c r="E41" s="45">
        <f t="shared" si="11"/>
        <v>5.5157339999999992E-6</v>
      </c>
      <c r="F41" s="79"/>
      <c r="H41" s="1" t="s">
        <v>14</v>
      </c>
      <c r="I41" s="66">
        <v>1.8799999999999999E-7</v>
      </c>
      <c r="J41" s="22">
        <f t="shared" si="7"/>
        <v>1.3159999999999998E-9</v>
      </c>
      <c r="K41" s="22">
        <f t="shared" si="3"/>
        <v>9.2119999999999986E-7</v>
      </c>
      <c r="L41" s="22">
        <f t="shared" si="4"/>
        <v>4.0348559999999989E-6</v>
      </c>
      <c r="M41" s="21" t="str">
        <f t="shared" si="5"/>
        <v/>
      </c>
      <c r="N41" s="66">
        <v>2.5699999999999999E-7</v>
      </c>
      <c r="O41" s="22">
        <f t="shared" si="8"/>
        <v>1.7989999999999999E-9</v>
      </c>
      <c r="P41" s="22">
        <f t="shared" si="12"/>
        <v>1.2593E-6</v>
      </c>
      <c r="Q41" s="22">
        <f t="shared" si="13"/>
        <v>5.5157339999999992E-6</v>
      </c>
      <c r="R41" s="21" t="str">
        <f t="shared" si="6"/>
        <v>Match</v>
      </c>
    </row>
    <row r="42" spans="1:18" x14ac:dyDescent="0.2">
      <c r="A42" s="14" t="s">
        <v>21</v>
      </c>
      <c r="B42" s="61"/>
      <c r="C42" s="62">
        <f t="shared" si="9"/>
        <v>4.1399999999999997E-7</v>
      </c>
      <c r="D42" s="46">
        <f t="shared" si="10"/>
        <v>2.0285999999999999E-6</v>
      </c>
      <c r="E42" s="46">
        <f t="shared" si="11"/>
        <v>8.8852680000000003E-6</v>
      </c>
      <c r="F42" s="79"/>
      <c r="H42" s="1" t="s">
        <v>21</v>
      </c>
      <c r="I42" s="66">
        <v>3.7500000000000001E-7</v>
      </c>
      <c r="J42" s="22">
        <f t="shared" si="7"/>
        <v>2.6250000000000003E-9</v>
      </c>
      <c r="K42" s="22">
        <f t="shared" si="3"/>
        <v>1.8375000000000002E-6</v>
      </c>
      <c r="L42" s="22">
        <f t="shared" si="4"/>
        <v>8.0482500000000021E-6</v>
      </c>
      <c r="M42" s="21" t="str">
        <f t="shared" si="5"/>
        <v/>
      </c>
      <c r="N42" s="66">
        <v>4.1399999999999997E-7</v>
      </c>
      <c r="O42" s="22">
        <f t="shared" si="8"/>
        <v>2.8980000000000001E-9</v>
      </c>
      <c r="P42" s="22">
        <f t="shared" si="12"/>
        <v>2.0285999999999999E-6</v>
      </c>
      <c r="Q42" s="22">
        <f t="shared" si="13"/>
        <v>8.8852680000000003E-6</v>
      </c>
      <c r="R42" s="21" t="str">
        <f t="shared" si="6"/>
        <v>Match</v>
      </c>
    </row>
    <row r="43" spans="1:18" x14ac:dyDescent="0.2">
      <c r="A43" s="15" t="s">
        <v>46</v>
      </c>
      <c r="B43" s="59"/>
      <c r="C43" s="60">
        <f t="shared" si="9"/>
        <v>3.46E-7</v>
      </c>
      <c r="D43" s="45">
        <f t="shared" si="10"/>
        <v>1.6954000000000001E-6</v>
      </c>
      <c r="E43" s="45">
        <f t="shared" si="11"/>
        <v>7.4258519999999999E-6</v>
      </c>
      <c r="F43" s="79"/>
      <c r="H43" s="1" t="s">
        <v>46</v>
      </c>
      <c r="I43" s="66">
        <v>5.8299999999999997E-7</v>
      </c>
      <c r="J43" s="22">
        <f t="shared" si="7"/>
        <v>4.0809999999999995E-9</v>
      </c>
      <c r="K43" s="22">
        <f t="shared" si="3"/>
        <v>2.8566999999999997E-6</v>
      </c>
      <c r="L43" s="22">
        <f t="shared" si="4"/>
        <v>1.2512346E-5</v>
      </c>
      <c r="M43" s="21" t="str">
        <f t="shared" si="5"/>
        <v/>
      </c>
      <c r="N43" s="66">
        <v>3.46E-7</v>
      </c>
      <c r="O43" s="22">
        <f t="shared" si="8"/>
        <v>2.4220000000000001E-9</v>
      </c>
      <c r="P43" s="22">
        <f t="shared" si="12"/>
        <v>1.6954000000000001E-6</v>
      </c>
      <c r="Q43" s="22">
        <f t="shared" si="13"/>
        <v>7.4258519999999999E-6</v>
      </c>
      <c r="R43" s="21" t="str">
        <f t="shared" si="6"/>
        <v>Match</v>
      </c>
    </row>
    <row r="44" spans="1:18" ht="13.5" thickBot="1" x14ac:dyDescent="0.25">
      <c r="A44" s="47" t="s">
        <v>47</v>
      </c>
      <c r="B44" s="63"/>
      <c r="C44" s="64">
        <f t="shared" si="9"/>
        <v>5.5599999999999995E-7</v>
      </c>
      <c r="D44" s="56">
        <f t="shared" si="10"/>
        <v>2.7243999999999997E-6</v>
      </c>
      <c r="E44" s="56">
        <f t="shared" si="11"/>
        <v>1.1932871999999999E-5</v>
      </c>
      <c r="F44" s="80"/>
      <c r="H44" s="1" t="s">
        <v>47</v>
      </c>
      <c r="I44" s="66">
        <v>4.89E-7</v>
      </c>
      <c r="J44" s="22">
        <f t="shared" si="7"/>
        <v>3.4229999999999999E-9</v>
      </c>
      <c r="K44" s="22">
        <f t="shared" si="3"/>
        <v>2.3960999999999998E-6</v>
      </c>
      <c r="L44" s="22">
        <f t="shared" si="4"/>
        <v>1.0494917999999999E-5</v>
      </c>
      <c r="M44" s="21" t="str">
        <f t="shared" si="5"/>
        <v/>
      </c>
      <c r="N44" s="66">
        <v>5.5599999999999995E-7</v>
      </c>
      <c r="O44" s="22">
        <f t="shared" si="8"/>
        <v>3.8919999999999994E-9</v>
      </c>
      <c r="P44" s="22">
        <f t="shared" si="12"/>
        <v>2.7243999999999997E-6</v>
      </c>
      <c r="Q44" s="22">
        <f t="shared" si="13"/>
        <v>1.1932871999999999E-5</v>
      </c>
      <c r="R44" s="21" t="str">
        <f t="shared" si="6"/>
        <v>Match</v>
      </c>
    </row>
    <row r="60" ht="12" customHeight="1" x14ac:dyDescent="0.2"/>
  </sheetData>
  <sheetProtection password="ED7B" sheet="1" objects="1" scenarios="1" selectLockedCells="1"/>
  <protectedRanges>
    <protectedRange sqref="B3 B8:B11 D10:D11 B12:D13 B5" name="Input Cells"/>
    <protectedRange sqref="B4" name="Input Cells_1"/>
  </protectedRanges>
  <mergeCells count="8">
    <mergeCell ref="N3:O3"/>
    <mergeCell ref="N4:O4"/>
    <mergeCell ref="F22:F44"/>
    <mergeCell ref="A1:F1"/>
    <mergeCell ref="F17:F19"/>
    <mergeCell ref="F8:F12"/>
    <mergeCell ref="B21:C21"/>
    <mergeCell ref="D3:E5"/>
  </mergeCells>
  <dataValidations count="1">
    <dataValidation type="decimal" operator="lessThanOrEqual" allowBlank="1" showInputMessage="1" showErrorMessage="1" sqref="B4">
      <formula1>8760</formula1>
    </dataValidation>
  </dataValidations>
  <pageMargins left="0.7" right="0.7" top="0.75" bottom="0.75" header="0.3" footer="0.3"/>
  <pageSetup scale="99" orientation="portrait" r:id="rId1"/>
  <headerFooter>
    <oddHeader>&amp;L&amp;G</oddHeader>
    <oddFooter>&amp;CPage &amp;P of &amp;N&amp;RVersion 1.1
February 21,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 Diesel</vt:lpstr>
      <vt:lpstr>'Engine Diesel'!Print_Area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2019-02-21T23:05:56Z</dcterms:modified>
</cp:coreProperties>
</file>